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ЭтаКнига" defaultThemeVersion="124226"/>
  <bookViews>
    <workbookView xWindow="240" yWindow="45" windowWidth="20730" windowHeight="11760"/>
  </bookViews>
  <sheets>
    <sheet name="прогноз на 2019- 2021- за 9 мес" sheetId="16" r:id="rId1"/>
  </sheets>
  <definedNames>
    <definedName name="_xlnm.Print_Titles" localSheetId="0">'прогноз на 2019- 2021- за 9 мес'!$5:$7</definedName>
    <definedName name="_xlnm.Print_Area" localSheetId="0">'прогноз на 2019- 2021- за 9 мес'!$A$1:$AN$65</definedName>
  </definedNames>
  <calcPr calcId="125725"/>
</workbook>
</file>

<file path=xl/calcChain.xml><?xml version="1.0" encoding="utf-8"?>
<calcChain xmlns="http://schemas.openxmlformats.org/spreadsheetml/2006/main">
  <c r="AM55" i="16"/>
  <c r="AL55"/>
  <c r="AK55"/>
  <c r="AJ55"/>
  <c r="AI55"/>
  <c r="AM54"/>
  <c r="AL54"/>
  <c r="AK54"/>
  <c r="AJ54"/>
  <c r="AI54"/>
  <c r="AK61"/>
  <c r="AJ61"/>
  <c r="AH61"/>
  <c r="AG61"/>
  <c r="X61"/>
  <c r="AJ60"/>
  <c r="AK60" s="1"/>
  <c r="AG60"/>
  <c r="AH60" s="1"/>
  <c r="AF60"/>
  <c r="AC60"/>
  <c r="W60"/>
  <c r="X60" s="1"/>
  <c r="AG59"/>
  <c r="AH59" s="1"/>
  <c r="AC59"/>
  <c r="AB59"/>
  <c r="AA59"/>
  <c r="Y59"/>
  <c r="W59"/>
  <c r="T59"/>
  <c r="P59"/>
  <c r="K59"/>
  <c r="F59"/>
  <c r="E59"/>
  <c r="AF58"/>
  <c r="AJ58" s="1"/>
  <c r="AK58" s="1"/>
  <c r="AL58" s="1"/>
  <c r="AM58" s="1"/>
  <c r="AE58"/>
  <c r="AD58"/>
  <c r="AB58"/>
  <c r="AC58" s="1"/>
  <c r="AG58" s="1"/>
  <c r="AH58" s="1"/>
  <c r="AI58" s="1"/>
  <c r="AA58"/>
  <c r="Z58"/>
  <c r="Y58"/>
  <c r="X58"/>
  <c r="Q58"/>
  <c r="K58"/>
  <c r="H58"/>
  <c r="G58"/>
  <c r="F58"/>
  <c r="E58"/>
  <c r="AH56"/>
  <c r="AC56"/>
  <c r="AG55"/>
  <c r="AH55" s="1"/>
  <c r="AF55"/>
  <c r="AE55"/>
  <c r="AB55"/>
  <c r="AC55" s="1"/>
  <c r="Z55"/>
  <c r="W55"/>
  <c r="U55"/>
  <c r="T55"/>
  <c r="S55"/>
  <c r="R55"/>
  <c r="P55"/>
  <c r="O55"/>
  <c r="AG54"/>
  <c r="AH54" s="1"/>
  <c r="AF54"/>
  <c r="AC54"/>
  <c r="AA54"/>
  <c r="AH53"/>
  <c r="AC53"/>
  <c r="AH52"/>
  <c r="AF52"/>
  <c r="AE52"/>
  <c r="AB52"/>
  <c r="AA52"/>
  <c r="Z52"/>
  <c r="W52"/>
  <c r="V52"/>
  <c r="U52"/>
  <c r="T52"/>
  <c r="S52"/>
  <c r="R52"/>
  <c r="Q52"/>
  <c r="P52"/>
  <c r="O52"/>
  <c r="AC50"/>
  <c r="AB50"/>
  <c r="W50"/>
  <c r="U50"/>
  <c r="T50"/>
  <c r="S50"/>
  <c r="R50"/>
  <c r="P50"/>
  <c r="AH49"/>
  <c r="AI49" s="1"/>
  <c r="AJ49" s="1"/>
  <c r="AG49"/>
  <c r="AF49"/>
  <c r="AE49"/>
  <c r="AC49"/>
  <c r="AB49"/>
  <c r="AA49"/>
  <c r="Z49"/>
  <c r="AJ48"/>
  <c r="AI48"/>
  <c r="AH48"/>
  <c r="AG48"/>
  <c r="AE48"/>
  <c r="AB48"/>
  <c r="AC48" s="1"/>
  <c r="AA48"/>
  <c r="AL47"/>
  <c r="AK47"/>
  <c r="AH47"/>
  <c r="AM46"/>
  <c r="AL46"/>
  <c r="AL44" s="1"/>
  <c r="AK46"/>
  <c r="AJ46"/>
  <c r="AJ44" s="1"/>
  <c r="AI46"/>
  <c r="AH46"/>
  <c r="AG46"/>
  <c r="AF46"/>
  <c r="AF44" s="1"/>
  <c r="AE46"/>
  <c r="AC46"/>
  <c r="AC44" s="1"/>
  <c r="AB46"/>
  <c r="W46"/>
  <c r="W44" s="1"/>
  <c r="AB45"/>
  <c r="AM44"/>
  <c r="AK44"/>
  <c r="AI44"/>
  <c r="AG44"/>
  <c r="AH44" s="1"/>
  <c r="AE44"/>
  <c r="AA44"/>
  <c r="O44"/>
  <c r="AJ43"/>
  <c r="AK43" s="1"/>
  <c r="AL43" s="1"/>
  <c r="AM43" s="1"/>
  <c r="AH43"/>
  <c r="AF43"/>
  <c r="AJ42"/>
  <c r="AK42" s="1"/>
  <c r="AL42" s="1"/>
  <c r="AM42" s="1"/>
  <c r="AH42"/>
  <c r="AI42" s="1"/>
  <c r="AG42"/>
  <c r="AF42"/>
  <c r="AF39" s="1"/>
  <c r="AF50" s="1"/>
  <c r="AE42"/>
  <c r="AG41"/>
  <c r="AH41" s="1"/>
  <c r="AF41"/>
  <c r="AE41"/>
  <c r="AJ40"/>
  <c r="AK40" s="1"/>
  <c r="AH40"/>
  <c r="AI40" s="1"/>
  <c r="AE40"/>
  <c r="AG39"/>
  <c r="AG50" s="1"/>
  <c r="AH50" s="1"/>
  <c r="AE39"/>
  <c r="AE50" s="1"/>
  <c r="AC39"/>
  <c r="AA39"/>
  <c r="AA50" s="1"/>
  <c r="Z39"/>
  <c r="Z50" s="1"/>
  <c r="AH38"/>
  <c r="AF38"/>
  <c r="AI37"/>
  <c r="AJ37" s="1"/>
  <c r="AH37"/>
  <c r="AF37"/>
  <c r="AF35" s="1"/>
  <c r="AE37"/>
  <c r="AK36"/>
  <c r="AL36" s="1"/>
  <c r="AM36" s="1"/>
  <c r="AJ36"/>
  <c r="AI36"/>
  <c r="AH36"/>
  <c r="AI35"/>
  <c r="AG35"/>
  <c r="AH35" s="1"/>
  <c r="AE35"/>
  <c r="AC35"/>
  <c r="AA35"/>
  <c r="AJ32"/>
  <c r="AK32" s="1"/>
  <c r="AL32" s="1"/>
  <c r="AM32" s="1"/>
  <c r="AH32"/>
  <c r="AF32"/>
  <c r="AA32"/>
  <c r="Y32"/>
  <c r="V32"/>
  <c r="T32"/>
  <c r="R32"/>
  <c r="Q32"/>
  <c r="K32"/>
  <c r="AK31"/>
  <c r="AL31" s="1"/>
  <c r="AM31" s="1"/>
  <c r="AJ31"/>
  <c r="AH31"/>
  <c r="AF31"/>
  <c r="AA31"/>
  <c r="Y31"/>
  <c r="V31"/>
  <c r="T31"/>
  <c r="R31"/>
  <c r="L31"/>
  <c r="Q31" s="1"/>
  <c r="K31"/>
  <c r="AH29"/>
  <c r="AF29"/>
  <c r="AH28"/>
  <c r="Y28"/>
  <c r="AA28" s="1"/>
  <c r="AJ27"/>
  <c r="AK27" s="1"/>
  <c r="AL27" s="1"/>
  <c r="AM27" s="1"/>
  <c r="AH27"/>
  <c r="AF27"/>
  <c r="AJ29" s="1"/>
  <c r="AK29" s="1"/>
  <c r="AL29" s="1"/>
  <c r="AM29" s="1"/>
  <c r="Y27"/>
  <c r="AA27" s="1"/>
  <c r="AH26"/>
  <c r="AG26"/>
  <c r="AJ26" s="1"/>
  <c r="AE26"/>
  <c r="AD26"/>
  <c r="AC26"/>
  <c r="AF26" s="1"/>
  <c r="AF28" s="1"/>
  <c r="AB26"/>
  <c r="Z26"/>
  <c r="Y26"/>
  <c r="W26"/>
  <c r="O26"/>
  <c r="K26"/>
  <c r="H26"/>
  <c r="F26"/>
  <c r="E26"/>
  <c r="AJ24"/>
  <c r="AK24" s="1"/>
  <c r="AL24" s="1"/>
  <c r="AM24" s="1"/>
  <c r="AH24"/>
  <c r="AF24"/>
  <c r="AH23"/>
  <c r="AH22"/>
  <c r="AJ22" s="1"/>
  <c r="AA22"/>
  <c r="AA17" s="1"/>
  <c r="Y22"/>
  <c r="Y21"/>
  <c r="W21"/>
  <c r="AB21" s="1"/>
  <c r="AC21" s="1"/>
  <c r="AH20"/>
  <c r="AJ20" s="1"/>
  <c r="AF20"/>
  <c r="AF22" s="1"/>
  <c r="AF17" s="1"/>
  <c r="AA20"/>
  <c r="Y20"/>
  <c r="AH18"/>
  <c r="Y18"/>
  <c r="W18"/>
  <c r="AB18" s="1"/>
  <c r="V18"/>
  <c r="AH17"/>
  <c r="Y17"/>
  <c r="W17"/>
  <c r="O17"/>
  <c r="H17"/>
  <c r="AH15"/>
  <c r="AG15"/>
  <c r="Y15"/>
  <c r="W15"/>
  <c r="V15"/>
  <c r="T15"/>
  <c r="R15"/>
  <c r="Q15"/>
  <c r="O15"/>
  <c r="K15"/>
  <c r="H15"/>
  <c r="AF13"/>
  <c r="AA13"/>
  <c r="H13"/>
  <c r="G13"/>
  <c r="K13" s="1"/>
  <c r="AP12"/>
  <c r="AO12"/>
  <c r="V12"/>
  <c r="V10" s="1"/>
  <c r="T12"/>
  <c r="R12"/>
  <c r="Q12"/>
  <c r="M12"/>
  <c r="L12"/>
  <c r="K12"/>
  <c r="I12"/>
  <c r="H12"/>
  <c r="G12"/>
  <c r="Y12" s="1"/>
  <c r="AA12" s="1"/>
  <c r="AP11"/>
  <c r="AO11"/>
  <c r="AF11"/>
  <c r="V11"/>
  <c r="T11"/>
  <c r="R11"/>
  <c r="Q11"/>
  <c r="K11"/>
  <c r="I11"/>
  <c r="H11"/>
  <c r="G11"/>
  <c r="Y11" s="1"/>
  <c r="AA11" s="1"/>
  <c r="AQ10"/>
  <c r="AA10"/>
  <c r="AA55" s="1"/>
  <c r="Z10"/>
  <c r="X10"/>
  <c r="Q10"/>
  <c r="Q55" s="1"/>
  <c r="L10"/>
  <c r="K10"/>
  <c r="J10"/>
  <c r="V50" l="1"/>
  <c r="V55"/>
  <c r="AC18"/>
  <c r="AB15"/>
  <c r="AJ18"/>
  <c r="AK18" s="1"/>
  <c r="AL18" s="1"/>
  <c r="AM18" s="1"/>
  <c r="AK20"/>
  <c r="AL20" s="1"/>
  <c r="AM20" s="1"/>
  <c r="AK26"/>
  <c r="AJ28"/>
  <c r="AA29"/>
  <c r="AA26"/>
  <c r="AJ41"/>
  <c r="AK41" s="1"/>
  <c r="AL41" s="1"/>
  <c r="AM41" s="1"/>
  <c r="AI41"/>
  <c r="AG21"/>
  <c r="AH21" s="1"/>
  <c r="AJ21" s="1"/>
  <c r="AK21" s="1"/>
  <c r="AL21" s="1"/>
  <c r="AM21" s="1"/>
  <c r="AE21"/>
  <c r="AF21"/>
  <c r="AK22"/>
  <c r="AJ17"/>
  <c r="AJ15" s="1"/>
  <c r="AJ35"/>
  <c r="AK37"/>
  <c r="AL40"/>
  <c r="AK39"/>
  <c r="AK50" s="1"/>
  <c r="AI39"/>
  <c r="AI50" s="1"/>
  <c r="Q50"/>
  <c r="AJ59"/>
  <c r="AK59" s="1"/>
  <c r="AL59" s="1"/>
  <c r="AM59" s="1"/>
  <c r="Z18"/>
  <c r="AA18" s="1"/>
  <c r="AA15" s="1"/>
  <c r="Z21"/>
  <c r="AA21" s="1"/>
  <c r="AJ38"/>
  <c r="AK38" s="1"/>
  <c r="AL38" s="1"/>
  <c r="AM38" s="1"/>
  <c r="AH39"/>
  <c r="AJ39"/>
  <c r="AJ50" s="1"/>
  <c r="AL37" l="1"/>
  <c r="AK35"/>
  <c r="AK28"/>
  <c r="AL26"/>
  <c r="AF18"/>
  <c r="AF15" s="1"/>
  <c r="AC15"/>
  <c r="AM40"/>
  <c r="AM39" s="1"/>
  <c r="AM50" s="1"/>
  <c r="AL39"/>
  <c r="AL50" s="1"/>
  <c r="AL22"/>
  <c r="AK17"/>
  <c r="AK15" s="1"/>
  <c r="AM22" l="1"/>
  <c r="AM17" s="1"/>
  <c r="AM15" s="1"/>
  <c r="AL17"/>
  <c r="AL15" s="1"/>
  <c r="AL35"/>
  <c r="AM37"/>
  <c r="AM35" s="1"/>
  <c r="AM26"/>
  <c r="AM28" s="1"/>
  <c r="AL28"/>
</calcChain>
</file>

<file path=xl/comments1.xml><?xml version="1.0" encoding="utf-8"?>
<comments xmlns="http://schemas.openxmlformats.org/spreadsheetml/2006/main">
  <authors>
    <author>Ekonom7</author>
    <author>Inet</author>
  </authors>
  <commentList>
    <comment ref="O49" authorId="0">
      <text>
        <r>
          <rPr>
            <b/>
            <sz val="9"/>
            <color indexed="81"/>
            <rFont val="Tahoma"/>
            <family val="2"/>
            <charset val="204"/>
          </rPr>
          <t>Ekonom7:</t>
        </r>
        <r>
          <rPr>
            <sz val="9"/>
            <color indexed="81"/>
            <rFont val="Tahoma"/>
            <family val="2"/>
            <charset val="204"/>
          </rPr>
          <t xml:space="preserve">
на 31.12.14</t>
        </r>
      </text>
    </comment>
    <comment ref="W49" authorId="0">
      <text>
        <r>
          <rPr>
            <b/>
            <sz val="9"/>
            <color indexed="81"/>
            <rFont val="Tahoma"/>
            <family val="2"/>
            <charset val="204"/>
          </rPr>
          <t>Ekonom7:</t>
        </r>
        <r>
          <rPr>
            <sz val="9"/>
            <color indexed="81"/>
            <rFont val="Tahoma"/>
            <family val="2"/>
            <charset val="204"/>
          </rPr>
          <t xml:space="preserve">
на 31.12.15</t>
        </r>
      </text>
    </comment>
    <comment ref="Z49" authorId="1">
      <text>
        <r>
          <rPr>
            <b/>
            <sz val="9"/>
            <color indexed="81"/>
            <rFont val="Tahoma"/>
            <family val="2"/>
            <charset val="204"/>
          </rPr>
          <t>Inet:</t>
        </r>
        <r>
          <rPr>
            <sz val="9"/>
            <color indexed="81"/>
            <rFont val="Tahoma"/>
            <family val="2"/>
            <charset val="204"/>
          </rPr>
          <t xml:space="preserve">
за 9 мес. Поставлено - 59, снято 237</t>
        </r>
      </text>
    </comment>
    <comment ref="AA49" authorId="0">
      <text>
        <r>
          <rPr>
            <b/>
            <sz val="9"/>
            <color indexed="81"/>
            <rFont val="Tahoma"/>
            <family val="2"/>
            <charset val="204"/>
          </rPr>
          <t>Ekonom7:</t>
        </r>
        <r>
          <rPr>
            <sz val="9"/>
            <color indexed="81"/>
            <rFont val="Tahoma"/>
            <family val="2"/>
            <charset val="204"/>
          </rPr>
          <t xml:space="preserve">
на 31.12.15 = 01.01.16</t>
        </r>
      </text>
    </comment>
    <comment ref="AB49" authorId="0">
      <text>
        <r>
          <rPr>
            <b/>
            <sz val="9"/>
            <color indexed="81"/>
            <rFont val="Tahoma"/>
            <family val="2"/>
            <charset val="204"/>
          </rPr>
          <t>Ekonom7:</t>
        </r>
        <r>
          <rPr>
            <sz val="9"/>
            <color indexed="81"/>
            <rFont val="Tahoma"/>
            <family val="2"/>
            <charset val="204"/>
          </rPr>
          <t xml:space="preserve">
на 01.01.2017
</t>
        </r>
      </text>
    </comment>
    <comment ref="AC49" authorId="0">
      <text>
        <r>
          <rPr>
            <b/>
            <sz val="9"/>
            <color indexed="81"/>
            <rFont val="Tahoma"/>
            <family val="2"/>
            <charset val="204"/>
          </rPr>
          <t>Ekonom7:</t>
        </r>
        <r>
          <rPr>
            <sz val="9"/>
            <color indexed="81"/>
            <rFont val="Tahoma"/>
            <family val="2"/>
            <charset val="204"/>
          </rPr>
          <t xml:space="preserve">
на 01.01.2017
</t>
        </r>
      </text>
    </comment>
  </commentList>
</comments>
</file>

<file path=xl/sharedStrings.xml><?xml version="1.0" encoding="utf-8"?>
<sst xmlns="http://schemas.openxmlformats.org/spreadsheetml/2006/main" count="483" uniqueCount="251">
  <si>
    <t>№ п/п</t>
  </si>
  <si>
    <t>Наименование индикатора</t>
  </si>
  <si>
    <t>Ед. изм.</t>
  </si>
  <si>
    <t>отчет</t>
  </si>
  <si>
    <t>оценка</t>
  </si>
  <si>
    <t>2011 год</t>
  </si>
  <si>
    <t>2012 года</t>
  </si>
  <si>
    <t>2013 год</t>
  </si>
  <si>
    <t>2014 год</t>
  </si>
  <si>
    <t>2015 год</t>
  </si>
  <si>
    <t>2016 год</t>
  </si>
  <si>
    <t>1.</t>
  </si>
  <si>
    <t>Демографическая ситуация</t>
  </si>
  <si>
    <t>1.1.</t>
  </si>
  <si>
    <t>Среднегодовая численность постоянного населения</t>
  </si>
  <si>
    <t>тыс. чел.</t>
  </si>
  <si>
    <t>1.2.</t>
  </si>
  <si>
    <t>Естественный прирост (убыль) человек</t>
  </si>
  <si>
    <t>тыс.чел.</t>
  </si>
  <si>
    <t>1.3.</t>
  </si>
  <si>
    <t>Миграционный прирост (убыль) населения</t>
  </si>
  <si>
    <t>1.4.</t>
  </si>
  <si>
    <t>Численность населения трудоспособного возраста</t>
  </si>
  <si>
    <t>2.</t>
  </si>
  <si>
    <t>Труд</t>
  </si>
  <si>
    <t>2.1.</t>
  </si>
  <si>
    <t>Фонд оплаты труда работников предприятий, организаций расположенных на территории муниципального образования</t>
  </si>
  <si>
    <t>млн. руб.</t>
  </si>
  <si>
    <t>2.2.</t>
  </si>
  <si>
    <t>Среднесписочная численность работников (без внешних совместителей) всех предприятий и организаций</t>
  </si>
  <si>
    <t>2.3.</t>
  </si>
  <si>
    <t>рублей</t>
  </si>
  <si>
    <t>3.</t>
  </si>
  <si>
    <t>Предпринимательство</t>
  </si>
  <si>
    <t>3.1.</t>
  </si>
  <si>
    <t>3.2.</t>
  </si>
  <si>
    <t>4.</t>
  </si>
  <si>
    <t>Потребительский рынок</t>
  </si>
  <si>
    <t>4.1.</t>
  </si>
  <si>
    <t xml:space="preserve"> Оборот розничной торговли</t>
  </si>
  <si>
    <t>млн. руб</t>
  </si>
  <si>
    <t>4.2.</t>
  </si>
  <si>
    <t>Оборот общественного питания</t>
  </si>
  <si>
    <t>4.3.</t>
  </si>
  <si>
    <t>5.</t>
  </si>
  <si>
    <t>5.1.</t>
  </si>
  <si>
    <t>5.2.</t>
  </si>
  <si>
    <t>5.3.</t>
  </si>
  <si>
    <t>5.4.</t>
  </si>
  <si>
    <t>5.5.</t>
  </si>
  <si>
    <t>6.</t>
  </si>
  <si>
    <t>Прочие показатели</t>
  </si>
  <si>
    <t>6.1.</t>
  </si>
  <si>
    <t>Общая площадь территории городского округа</t>
  </si>
  <si>
    <t>га</t>
  </si>
  <si>
    <t>6.2.</t>
  </si>
  <si>
    <t>Площадь земельных участков, являющихся объектами налогообложения земельным налогом</t>
  </si>
  <si>
    <t>Общая площадь жилых помещений, приходящаяся в среднем на одного жителя</t>
  </si>
  <si>
    <t>кв.м</t>
  </si>
  <si>
    <t>* - предоставлены показатели за 9 месяцев</t>
  </si>
  <si>
    <t>4.4. Объем работ, выполненных по виду деятельности "строительство" за 2007г</t>
  </si>
  <si>
    <t>предоставлены показатели за 9 месяцев *</t>
  </si>
  <si>
    <t>5. Ввод в действие жилья и объектов соцкультбыта за 2007 г предоставлены показатели за 9 месяцев *</t>
  </si>
  <si>
    <t>5. Потребительский рынок за 2007 год представлены показатели за 9 месяцев *</t>
  </si>
  <si>
    <t>Прогноз на 2011 год 1 Вариант не представлен, отсутствует индекс-дефлятор</t>
  </si>
  <si>
    <t>2017 год</t>
  </si>
  <si>
    <t>прогноз</t>
  </si>
  <si>
    <t>тыс. чел</t>
  </si>
  <si>
    <t>Исп. Михайлюк И.В.</t>
  </si>
  <si>
    <t>единиц</t>
  </si>
  <si>
    <t>Примечание</t>
  </si>
  <si>
    <t>6 месяцев 2014</t>
  </si>
  <si>
    <t>2368,2**</t>
  </si>
  <si>
    <t>15,5*</t>
  </si>
  <si>
    <t>14,3*</t>
  </si>
  <si>
    <t>23,2*</t>
  </si>
  <si>
    <t>386,4*</t>
  </si>
  <si>
    <t>62 163,5*</t>
  </si>
  <si>
    <t>1 921,3*</t>
  </si>
  <si>
    <t>9 месяцев 2014</t>
  </si>
  <si>
    <t>65 423,7**</t>
  </si>
  <si>
    <t>0,08***</t>
  </si>
  <si>
    <t>0,1***</t>
  </si>
  <si>
    <t>5014,3***</t>
  </si>
  <si>
    <t>4320*</t>
  </si>
  <si>
    <t>инф-я отсутствует</t>
  </si>
  <si>
    <t>кв.км</t>
  </si>
  <si>
    <t>4,32*</t>
  </si>
  <si>
    <t>2018 год</t>
  </si>
  <si>
    <t>6 месяцев 2015</t>
  </si>
  <si>
    <t>оценка на 15.04.15</t>
  </si>
  <si>
    <t>индекс потребительских цен</t>
  </si>
  <si>
    <t>15,3*</t>
  </si>
  <si>
    <t>66902,5*</t>
  </si>
  <si>
    <t xml:space="preserve">оценка </t>
  </si>
  <si>
    <t xml:space="preserve">отчет </t>
  </si>
  <si>
    <t>отчет на 01.08.2015</t>
  </si>
  <si>
    <t>оценка на 01.08.2015</t>
  </si>
  <si>
    <t>уточненный</t>
  </si>
  <si>
    <t>на 15.04.15</t>
  </si>
  <si>
    <t>на 01.10.2015</t>
  </si>
  <si>
    <t>на 23.11.2015</t>
  </si>
  <si>
    <t xml:space="preserve"> на 01.10.2015</t>
  </si>
  <si>
    <t>9 месяцев 2015</t>
  </si>
  <si>
    <t>2019 год</t>
  </si>
  <si>
    <t>5 406,7***</t>
  </si>
  <si>
    <t>в том числе</t>
  </si>
  <si>
    <t>Фонд оплаты труда работников  крупных и средних организаций, расположенных на территории муниципального образования</t>
  </si>
  <si>
    <t>12,865***</t>
  </si>
  <si>
    <t>Среднесписочная численность работников (без внешних совместителей) крупных и средних организаций</t>
  </si>
  <si>
    <t>Среднесписочная численность работников (без внешних совместителей) малых и средних организаций</t>
  </si>
  <si>
    <t>70 044,0***</t>
  </si>
  <si>
    <t>Число субъектов малого и среднего предпринимательства, всего, в т.ч.</t>
  </si>
  <si>
    <t>3,728871***</t>
  </si>
  <si>
    <t>6 месяцев 2016</t>
  </si>
  <si>
    <t>2016 год по итогам за 6 мес.</t>
  </si>
  <si>
    <t>9 месяцев 2016</t>
  </si>
  <si>
    <t>2.4.</t>
  </si>
  <si>
    <t>Уровень безработицы</t>
  </si>
  <si>
    <t>%</t>
  </si>
  <si>
    <t>2.5.</t>
  </si>
  <si>
    <t>Прожиточный минимум на душу населения</t>
  </si>
  <si>
    <t>- индивидуальных предпринимателей</t>
  </si>
  <si>
    <t>- юридических лиц</t>
  </si>
  <si>
    <t>Количество индивидуальных предпринимателей, применяющих патентную систему налогообложения</t>
  </si>
  <si>
    <t>Индекс потребительских цен (декабрь к декабрю)</t>
  </si>
  <si>
    <t>Жилищное строительство и обеспечение граждан жильем</t>
  </si>
  <si>
    <t>Количество многоквартирных домов</t>
  </si>
  <si>
    <t>Общая площадь жилых помещений муниципального жилого фонда</t>
  </si>
  <si>
    <t>тыс.кв.м.</t>
  </si>
  <si>
    <t>Объем жилищного строительства</t>
  </si>
  <si>
    <t>Количество граждан, получивших жилые помещения и улучшивших жилищные условия в отчетном периоде из числа граждан, состоящих на учете в качестве нуждающегося в жилых помещениях</t>
  </si>
  <si>
    <t>5.6.</t>
  </si>
  <si>
    <t>Количество граждан, состоящих на учете в качестве нуждающихся в жилых помещениях</t>
  </si>
  <si>
    <t>Организация муниципального управления</t>
  </si>
  <si>
    <t>Сумма доходов местного бюджета, всего, в т.ч.</t>
  </si>
  <si>
    <t>собственные налоговые и неналоговые доходы местного бюджета</t>
  </si>
  <si>
    <t>межбюджетные трансферты</t>
  </si>
  <si>
    <t>Расходы бюджета муниципального образования на содержание работников органов местного самоуправления в расчете на одного жителя муниципального образования</t>
  </si>
  <si>
    <t>Расходы бюджета муниципального образования на содержание работников органов местного самоуправления</t>
  </si>
  <si>
    <t>7.</t>
  </si>
  <si>
    <t>тыс.руб.</t>
  </si>
  <si>
    <t>5.2.1.</t>
  </si>
  <si>
    <t>Общая протяженность автомобильных дорог общего пользования местного значения</t>
  </si>
  <si>
    <t>км</t>
  </si>
  <si>
    <t>Протяженность автомобильных дорог общего пользования местного значения, отвечающих нормативным требованиям</t>
  </si>
  <si>
    <t>7.1.</t>
  </si>
  <si>
    <t>7.2.</t>
  </si>
  <si>
    <t>7.3.</t>
  </si>
  <si>
    <t>7.4.</t>
  </si>
  <si>
    <t>из свода МКД на 30.09.16</t>
  </si>
  <si>
    <t>из свода МКД на 30.09.17</t>
  </si>
  <si>
    <t>Среднемесячная номинальная начисленная заработная плата работников крупных и средних предприятий и некоммерческих организаций</t>
  </si>
  <si>
    <t>расчетным путем</t>
  </si>
  <si>
    <t>жду инф. От жилотдела</t>
  </si>
  <si>
    <t>семей</t>
  </si>
  <si>
    <t>5777,5431***</t>
  </si>
  <si>
    <t>Общая площадь жилых помещений (МКД + ИЖД), всего, в том числе:</t>
  </si>
  <si>
    <t>5777,5*</t>
  </si>
  <si>
    <t>72340,5*</t>
  </si>
  <si>
    <t>104,34**</t>
  </si>
  <si>
    <t>58*</t>
  </si>
  <si>
    <t>факт</t>
  </si>
  <si>
    <t>2020 год</t>
  </si>
  <si>
    <t>14,7*</t>
  </si>
  <si>
    <t>0,3*</t>
  </si>
  <si>
    <t>2287,0*</t>
  </si>
  <si>
    <t>486,5*</t>
  </si>
  <si>
    <t>6 месяцев 2017</t>
  </si>
  <si>
    <t>9 месяцев 2017</t>
  </si>
  <si>
    <t>по данным УФ</t>
  </si>
  <si>
    <t xml:space="preserve">Показатель указан по данным УМИ и ЗО </t>
  </si>
  <si>
    <t>по данным УМИ</t>
  </si>
  <si>
    <t>по данным УФ, жду пояснений</t>
  </si>
  <si>
    <t>нет данных</t>
  </si>
  <si>
    <t>5091,8*</t>
  </si>
  <si>
    <t>12,021*</t>
  </si>
  <si>
    <t>5098,9*</t>
  </si>
  <si>
    <t>70 595,4*</t>
  </si>
  <si>
    <t>2,4%**</t>
  </si>
  <si>
    <t>82*</t>
  </si>
  <si>
    <t>сайт Фед.налоговой службы/иные функции ФНС/статистика и аналитика/Данные по формам стат.налог. Отчетности /НАО</t>
  </si>
  <si>
    <t>общежития</t>
  </si>
  <si>
    <t>МКД</t>
  </si>
  <si>
    <t>ИЖД</t>
  </si>
  <si>
    <t>разнести снос МКД</t>
  </si>
  <si>
    <t>не планируется</t>
  </si>
  <si>
    <t>0,110**</t>
  </si>
  <si>
    <t>0,004**</t>
  </si>
  <si>
    <t>Уточнен показатель за 2016 год по данным официального сайта Управления федеральной службы государственной статистики по Архангельской области и НАО. .Прогноз составлен с учетом доведенных ИПЦ</t>
  </si>
  <si>
    <t>2021 год</t>
  </si>
  <si>
    <t>0,11*</t>
  </si>
  <si>
    <t>0,004*</t>
  </si>
  <si>
    <t>14,678*</t>
  </si>
  <si>
    <t>В 2017 году получили новые квартиры и улучшили свои жилищные условия 137 семей (в 2016 – 114 семьи), в том числе по социальной очереди 3 семьи (в 2016 – 68 семьи), по программе "Переселение граждан из жилищного фонда, признанного непригодным для проживания и/или с высоким уровнем износа"- 134 семьи (в 2016 – 46 семей).</t>
  </si>
  <si>
    <t>в 2017 году 10 общежитий - ул. 60 лет Октября д.44, ул.Авиаторов д. 12А, ул.Выучейского д. 27, ул. Меньшикова 14 и 22, ул.Пионерская д.18, ул.Сапрыгина д.7, ул.Хатанзейского д.5, ул. Юбилейная д.13, ул.Южная 16Б</t>
  </si>
  <si>
    <t>по данным годового отчета 1-жилфонд по состоянию на 01.01.2018 составляла 81,5 тыс.м2, на на 01.01.2017 – 81,1 тыс.м2.
Прогнозные показатели установлены расчетным путем с сохранением сложившейся динамики, т.к. полномочия по строительсту жилфонда переданы в субъект Федерации.</t>
  </si>
  <si>
    <t>9 месяцев 2018</t>
  </si>
  <si>
    <t>чьи данные</t>
  </si>
  <si>
    <t>УЭ</t>
  </si>
  <si>
    <t>УС</t>
  </si>
  <si>
    <t>жилотдел</t>
  </si>
  <si>
    <t>УФ</t>
  </si>
  <si>
    <t>УМИ</t>
  </si>
  <si>
    <t>п.3.3.отменен пост-м №328 от 05.05.2018</t>
  </si>
  <si>
    <t xml:space="preserve"> Предварительные итоги социально-экономического развития города Нарьян-Мара за 9 месяцев 2018 года и ожидаемые итоги социально-экономического развития города Нарьян-Мара за 2018 год</t>
  </si>
  <si>
    <t>по итогам за  9 мес. 2018 года до 15.10.2018</t>
  </si>
  <si>
    <t>77647,5*</t>
  </si>
  <si>
    <t>2,602*</t>
  </si>
  <si>
    <t>12,246*</t>
  </si>
  <si>
    <t>14,848*</t>
  </si>
  <si>
    <t>статистические показатели с сайта за 6 мес. 2018 года. На планируемый период среднемесячная номинальная начисленная заработная плата работников крупных и средних предприятий и некоммерческих организаций указана с индексацией на 3% в 2018 – 2020 годах (в соответствии с требованиями Отраслевых тарифных соглашений уровень ставки рабочего первого разряда подлежит ежегодной индексации).</t>
  </si>
  <si>
    <t>Уточнен показатель за 2018 год с учетом факта за 6 мес. 2018 года. На планируемый период среднемесячная номинальная начисленная заработная плата работников крупных и средних предприятий и некоммерческих организаций указана с индексацией на 3% в 2018 – 2020 годах (в соответствии с требованиями Отраслевых тарифных соглашений уровень ставки рабочего первого разряда подлежит ежегодной индексации).</t>
  </si>
  <si>
    <t xml:space="preserve"> За 6 месяцев 2018 общая числ-ть раб-в орг-ций выросла на 103 человека, в связи с ростом численности работников отрасли добычи полезных ископаемых,, деятельности гостиниц и предприятий общественного питания, образования, государственного управления. Прогнозные показатели определены расчетным путем по среднегодовой динамике, с учетом изменения численности трудоспособного населения.</t>
  </si>
  <si>
    <t xml:space="preserve">по данным Управления федеральной службы государственной статистики по Архангельской области и НАО  с сайта. За 6 мес. 2018 показатель вырос по сравнению с 2017 годом на 10,3%, в связи с наступлением летнего периода и выплатами при предоставлении очередного трудового отпуска, доведениям выплат до размера МРОТ.
 Плановый 2018 год и прогнозный период сформирован с ростом на 3% (в соответствии с требованиями Отраслевых тарифных соглашений уровень ставки рабочего первого разряда подлежит ежегодной индексации). С 01.01.2019 ставка 1 разряда работников МУП "Нарьян-марское АТП" и МУ ПОКиТС повышена на 4%, МУП "КБ и БО" - на 18% (доведена до уровня Отраслевого тарифного соглашения), муниципальных учреждений - на 5%. </t>
  </si>
  <si>
    <t>По данным КУ НАО "Центр занятости населения"  на 31.08.2018 уровень безработицы по НАО составил 1,9%, по МО "Городской округ "Город Нарьян-Мар" - 1,2%.. Численность безработных граждан по НАО на 31.08.2018 составил 425 человек (на 31.12.2017 - 592 человека, на 31.12.2016 - 591 человек),  по МО "Городской округ "Город Нарьян-Мар" - 166 человек.</t>
  </si>
  <si>
    <t>1,9%**</t>
  </si>
  <si>
    <t>*- за 6 мес.2017 года</t>
  </si>
  <si>
    <t>**- за 8 мес.2018 года</t>
  </si>
  <si>
    <t>в соответствии с постановлением Администрации Ненецкого автономного округа № 174-п от 26 июля 2018 года за 2 квартал 2018 года прожиточный минимум составил 20 609 рублей. На плановый период определен расчетным путем с учетом изменения индекса потребительских цен</t>
  </si>
  <si>
    <t>20 609*</t>
  </si>
  <si>
    <t>75*</t>
  </si>
  <si>
    <t>По статистическим данным Межрайонной инспекции ФНС РФ № 4 по Архангельской области и НАО по форме отчета патент – 1 по состоянию на 01.07.2018 года.</t>
  </si>
  <si>
    <t>Показатель указан по данным официального сайта Управления федеральной службы государственной статистики по Архангельской области и НАО. .Прогноз составлен с учетом доведенных ИПЦ.</t>
  </si>
  <si>
    <t>6 917,5*</t>
  </si>
  <si>
    <t>5 705,2*</t>
  </si>
  <si>
    <t>871*</t>
  </si>
  <si>
    <t>607*</t>
  </si>
  <si>
    <t>264*</t>
  </si>
  <si>
    <t>Показатель  указан по данным Единого реестра субъектов малого и среднего предпринимательства, размещенного на  официальном сайте Федеральной налоговой службы по состоянию на 01.07.2018.</t>
  </si>
  <si>
    <t>Показатель указан по данным  Управления федеральной службы государственной статистики по Архангельской области и Ненецкому автономному округу за 2017 год и за июль  .2018 года. Прогнозные показатели указаны на основании письма Департамента финансов и экономики НАО от 18.07.2018 № 2377/03.</t>
  </si>
  <si>
    <t>Показатель указан по данным Управления федеральной службы государственной статистики по Архангельской области и НАО. За 6 месяцев 2018 общая числ-ть раб-в орг-ций выросла на 103 человека, в связи с ростом численности работников отрасли добычи полезных ископаемых,, деятельности гостиниц и предприятий общественного питания, образования, государственного управления. Прогнозный показатель расчитан с учетом изменения численности трудоспособного населения</t>
  </si>
  <si>
    <t xml:space="preserve">По данным Управления федеральной службы государственной статистики по Архангельской области и НАО за 2017 год среднегодовая численность населения города Нарьян-Мара составила 24 715 человек,. миграция составила (- 67) человек ( 1 263 прибыло, 1 330 убыло), естественный прирост составил 188 человек, численность трудоспособного населения 14 378 человек.
 В соответствии с планом статистических работ, утвержденным распоряжением Правительства РФ от 06.05.2008 № 671-р, данные о естественном приросте, миграции населения формируются 2 июля, данные о численности городского и сельского населения на 1 января текущего года - 31 июля, данные о возрастно-половом составе населения на 1 января текущего года – 1 октября. Промежуточные данные по показателям не формируются в соответствии с планом статистических работ. Показатели на прогнозный период 2018 – 2021 годов сформированы с учетом  данных статуправления за 2017 год , динамики изменения численности населения по поло-возрастным группам и прогнозных показателей по НАО, повышением пенсионного возраста.  </t>
  </si>
  <si>
    <t xml:space="preserve">Показатели  по официальным  данным из программы АИН.налог.ру. Формируются только по итогам года Прогнозный показатель определен расчетным путем по среднегодовой динамике роста 1% </t>
  </si>
  <si>
    <t>через Експлорер в АИН.налог.ру - анализ данных-исходные данные-фильтр-ЗК Нарьян-Мар-2017 год-МО -ззем.участки-факт владения-физ/лица и юрлица-перейти к результатам-выгрузка</t>
  </si>
  <si>
    <t xml:space="preserve">По состоянию на 31.12.2017 на учете нуждающихся в жилых помещениях состояло 2 084 семьи.
За 9 месяцев 2018 года получили новые квартиры и улучшили свои жилищные условия 45 семей, в том числе по социальной очереди 4 семьи, по программе "Переселение граждан из жилищного фонда, признанного непригодным для проживания и/или с высоким уровнем износа" - 41 семья.
По социальной очереди получили новые квартиры 4 семьи, с учёта снято 240 семей, принято на учёт 63 семьи. По состоянию на 30.09.2018 на учете нуждающихся в жилых помещениях по договорам социального найма в Администрации МО "Городской округ "Город Нарьян-Мар" состоит 952 семьи. На конец года прогнозируется 962 семьи.
В 2018 году для переселения в рамках программы "Переселение граждан из жилищного фонда, признанного непригодным для проживания и/или с высоким уровнем износа"- выделено всего 35 квартир и 6 семей переселено в жилфонд, выделенный в 2017 году.Всего расселена 41 семья.
В связи с передачей полномочий с 2016 года в соответствии с окружным законом от 09.09.2014 № 95-оз "О перераспределении полномочий между органами местного самоуправления муниципальных образований Ненецкого автономного округа и органами государственной власти Ненецкого автономного округа" данные на 2019 – 2021 годы не отражены. 
</t>
  </si>
  <si>
    <t>По состоянию на 31.12.2017 количество многоквартирных домов (МКД) на территории МО "Городской округ "Город Нарьян-Мар" составляло 383 единицы.
За 9 месяцев 2018 года введено в эксплуатацию 3 из 10 секций многоквартирного дома по ул.Авиаторов (4 336,1м2), снесено 4 МКД (1 905,2 м2): по ул. ул. Октябрьская, д. 4 (143,1 кв. м), ул. Рыбников, д. 8А (728,5 кв. м), ул. Совхозная, д. 5 (343,9 кв. м), ул. Рыбников, д. 28 (689,7 кв. м.). 
До конца 2018 года планируется ввод в эксплуатацию 2 секций 10 секционного дома по ул. Авиаторов площадь жилых помещений составляет 2723,4 кв. м. Ввод в эксплуатацию дома учтен в показателе за 2019 год. 
В случае передачи Администрацией НАО Администрации МО "Городской округ "Город Нарьян-Мар" 100% жилых помещений предназначенных для расселения до конца 2018 года планируется расселение 12 многоквартирных домов жилой площадью 7030,7 кв. м.
Число МКД на конец 2018 года составит 367 единиц.
По данным Департамента строительства, ЖКХ, энергетики и транспорта НАО планируется ввести в эксплуатацию в 2019 году - 4 МКД, в 2020 году - 2 МКД, в 2021 году - 2 МКД.
В случае передачи Администрацией НАО Администрации МО "Городской округ "Город Нарьян-Мар" 100% жилых помещений предназначенных для расселения планируется расселение в 2019 году - 24 МКД (13 101,0 кв. м), в 2020 году - 15 МКД (9 320,9 кв. м), в 2021 году - 9 МКД (4 394,7 кв. м).</t>
  </si>
  <si>
    <t xml:space="preserve"> По состоянию на 31.12.2017 в МО числится 851 МКД. По данным Департамента, в год по НАО вводится 10 тыс. кв. м. ИЖД, по МО "Городской округ "Город Нарьян-Мар" прогнозируемый ввод ИЖД 5,5 тыс. кв.м в год, что в среднем соответствует 40 ИЖД</t>
  </si>
  <si>
    <t xml:space="preserve">По отчету 1 -жилфонд за 2017 год введено новой площади ИЖД и присвоено 24 адреса индивидуальным строениям общей площадью 3 773,4 м2. В среднем в 2015- 2017 годах площадь вводимых в эксплуатацию жилых домов составляла  5 490,13 м. кв. Прогнозный показатель на 2018  установлен на уровне среднегодового показателя. Показатель на 2019-2021 год установлен по данным Департамента строит-ва, ЖКХ, энергетики и транспорта  НАО с ежегодным вводом по 10 тыс.м2 жилой S, по МО  - 5,5 тыс. м2  </t>
  </si>
  <si>
    <t xml:space="preserve">За 9 месяцев 2018 года введено в эксплуатацию 3 из 10 секций многоквартирного дома по ул.Авиаторов (4 336,1 м2), снесено 4 МКД (1 905,2 м2): по ул. ул. Октябрьская, д. 4 (143,1 кв. м), ул. Рыбников, д. 8А (728,5 кв. м), ул. Совхозная, д. 5 (343,9 кв. м), ул. Рыбников, д. 28 (689,7 кв. м.). 
До конца 2018 года планируется ввод в эксплуатацию 2 секций 10 секционного дома по ул. Авиаторов площадь жилых помещений составляет 2723,4 кв. м.
В случае передачи Администрацией НАО Администрации МО "Городской округ "Город Нарьян-Мар" 100% жилых помещений предназначенных для расселения до конца 2018 года планируется расселение 12 многоквартирных домов жилой площадью 7030,7 кв. м.
В 2019 планируется ввести 4 многоквартирных дома общей площадью – 14 675,12 кв. м.(по ул.Первомайская – ул. Т. Вылка 2 596,92 м2, по ул.Авиаторов (5 секций) 7 059,5.м2, по ул. Пионерская 3 493,8 м2, по ул.Первомайской 1 524,9 м2). 
В случае передачи Администрацией НАО Администрации МО "Городской округ "Город Нарьян-Мар" 100% жилых помещений предназначенных для расселения до конца 2019 года планируется расселение 24 многоквартирных домов жилой площадью 13 101 кв. м.
В 2020 планируется ввести 2 многоквартирных дома общей площадью - 9 352,99 кв.м. (по ул.Авиаторов – 7 130,57 м2, по ул.Полярная-ул.Пырерка – 2 222,42 м2).
В случае передачи Администрацией НАО Администрации МО "Городской округ "Город Нарьян-Мар" 100% жилых помещений предназначенных для расселения до конца 2020 года планируется расселение 15 многоквартирных домов жилой площадью 9 320,9 кв. м.
В 2021 планируется ввести 2 многоквартирных дома общей площадью – 4 444,84 кв.м. 
В случае передачи Администрацией НАО Администрации МО "Городской округ "Город Нарьян-Мар" 100% жилых помещений предназначенных для расселения до конца 2021 года планируется расселение 9 многоквартирных домов жилой площадью 4 394,7 кв. м.
</t>
  </si>
  <si>
    <r>
      <rPr>
        <sz val="10"/>
        <rFont val="Times New Roman Cyr"/>
        <charset val="204"/>
      </rPr>
      <t xml:space="preserve">За 9 месяцев 2018 года введено в эксплуатацию 3 из 10 секций многоквартирного дома по ул.Авиаторов (4 336,1 м2), снесено 4 МКД (1 905,2 м2): по ул. ул. Октябрьская, д. 4 (143,1 кв. м), ул. Рыбников, д. 8А (728,5 кв. м), ул. Совхозная, д. 5 (343,9 кв. м), ул. Рыбников, д. 28 (689,7 кв. м.). 
До конца </t>
    </r>
    <r>
      <rPr>
        <u/>
        <sz val="10"/>
        <rFont val="Times New Roman Cyr"/>
        <charset val="204"/>
      </rPr>
      <t>2018 года</t>
    </r>
    <r>
      <rPr>
        <sz val="10"/>
        <rFont val="Times New Roman Cyr"/>
        <charset val="204"/>
      </rPr>
      <t xml:space="preserve"> планируется ввод в эксплуатацию 2 секций 10 секционного дома по ул. Авиаторов площадь жилых помещений составляет 2723,4 кв. м.
В случае передачи Администрацией НАО Администрации МО "Городской округ "Город Нарьян-Мар" 100% жилых помещений предназначенных для расселения до конца 2018 года планируется расселение 12 многоквартирных домов жилой площадью 7030,7 кв. м.
По данным Департамента строительства, ЖКХ, энергетики и транспорта  НАО, в год по НАО вводится 10 тыс. кв. м. ИЖД, по МО "Городской округ "Город Нарьян-Мар" прогнозируемый ввод ИЖД – 5,5 тыс. кв.м в год. В среднем в 2015- 2017 годах площадь вводимых в эксплуатацию жилых домов составляла  5 490,13 м. кв.
</t>
    </r>
    <r>
      <rPr>
        <u/>
        <sz val="10"/>
        <rFont val="Times New Roman Cyr"/>
        <charset val="204"/>
      </rPr>
      <t xml:space="preserve">В 2019 </t>
    </r>
    <r>
      <rPr>
        <sz val="10"/>
        <rFont val="Times New Roman Cyr"/>
        <charset val="204"/>
      </rPr>
      <t xml:space="preserve">планируется ввести 4 многоквартирных дома общей площадью – 14 675,12 кв. м.(по ул.Первомайская – ул. Т. Вылка 2 596,92 м2, по ул.Авиаторов (5 секций) 7 059,5.м2, по ул. Пионерская 3 493,8 м2, по ул.Первомайской 1 524,9 м2). 
В случае передачи Администрацией НАО Администрации МО "Городской округ "Город Нарьян-Мар" 100% жилых помещений предназначенных для расселения до конца 2019 года планируется расселение 24 многоквартирных домов жилой площадью 13 101 кв. м.
По данным Департамента строительства, ЖКХ, энергетики и транспорта  НАО, в год по НАО вводится 10 тыс. кв. м. ИЖД, по МО "Городской округ "Город Нарьян-Мар" прогнозируемый ввод ИЖД – 5,5 тыс. кв.м в год. В среднем в 2015- 2017 годах площадь вводимых в эксплуатацию жилых домов составляла  5 490,13 м. кв.
</t>
    </r>
    <r>
      <rPr>
        <u/>
        <sz val="10"/>
        <rFont val="Times New Roman Cyr"/>
        <charset val="204"/>
      </rPr>
      <t>В 2020</t>
    </r>
    <r>
      <rPr>
        <sz val="10"/>
        <rFont val="Times New Roman Cyr"/>
        <charset val="204"/>
      </rPr>
      <t xml:space="preserve"> планируется ввести 2 многоквартирных дома общей площадью - 9 352,99 кв.м. (по ул.Авиаторов – 7 130,57 м2, по ул.Полярная-ул.Пырерка – 2 222,42 м2).
В случае передачи Администрацией НАО Администрации МО "Городской округ "Город Нарьян-Мар" 100% жилых помещений предназначенных для расселения до конца 2020 года планируется расселение 15 многоквартирных домов жилой площадью 9 320,9 кв. м.
По данным Департамента строительства, ЖКХ, энергетики и транспорта  НАО, в год по НАО вводится 10 тыс. кв. м. ИЖД, по МО "Городской округ "Город Нарьян-Мар" прогнозируемый ввод ИЖД – 5,5 тыс. кв.м в год. В среднем в 2015- 2017 годах площадь вводимых в эксплуатацию жилых домов составляла  5 490,13 м. кв.
</t>
    </r>
    <r>
      <rPr>
        <u/>
        <sz val="10"/>
        <rFont val="Times New Roman Cyr"/>
        <charset val="204"/>
      </rPr>
      <t xml:space="preserve">В 2021 </t>
    </r>
    <r>
      <rPr>
        <sz val="10"/>
        <rFont val="Times New Roman Cyr"/>
        <charset val="204"/>
      </rPr>
      <t xml:space="preserve">планируется ввести 2 многоквартирных дома общей площадью – 4 444,84 кв.м. 
В случае передачи Администрацией НАО Администрации МО "Городской округ "Город Нарьян-Мар" 100% жилых помещений предназначенных для расселения до конца 2021 года планируется расселение 9 многоквартирных домов жилой площадью 4 394,7 кв. м.
По данным Департамента строительства, ЖКХ, энергетики и транспорта  НАО, в год по НАО вводится 10 тыс. кв. м. ИЖД, по МО "Городской округ "Город Нарьян-Мар" прогнозируемый ввод ИЖД – 2,5 тыс. кв.м в год.
</t>
    </r>
  </si>
  <si>
    <r>
      <t xml:space="preserve">Общая площадь жилых помещений в МО по состоянию на 31.12.2017 составляет 612,067 тыс. м2.
По состоянию на 31.12.2017 в МО числится 383 многоквартирный дом общей жилой площадью 489,4 тыс. м2.
За 9 месяцев 2018 года введено в эксплуатацию 3 из 10 секций многоквартирного дома по ул.Авиаторов (4 336,1м2), снесено 4 МКД (1 905,2 м2): по ул. ул. Октябрьская, д. 4 (143,1 кв. м), ул. Рыбников, д. 8А (728,5 кв. м), ул. Совхозная, д. 5 (343,9 кв. м), ул. Рыбников, д. 28 (689,7 кв. м.). 
До конца 2018 года планируется ввод в эксплуатацию 2 секций 10 секционного дома по ул. Авиаторов площадь жилых помещений составляет 2723,4 кв. м. Ввод в эксплуатацию дома учтен в показателе за 2019 год. 
В случае передачи Администрацией НАО Администрации МО "Городской округ "Город Нарьян-Мар" 100% жилых помещений предназначенных для расселения до конца 2018 года планируется расселение 12 многоквартирных домов жилой площадью 7030,7 кв. м.
Общая площадь жилых помещений МКД по состоянию на 31.12.2018 составит 487,511 тыс.м2.
По состоянию на 31.12.2017 в МО числится  10 общежитий общей жилой площадью 5,0846 тыс.м2, изменения показателя не планируется.
По состоянию на 31.12.2017 в МО числится 851 индивидуальных жилых домов и домов блочной застройки общей жилой площадью 117,595 тыс. м2. 
В среднем в 2015- 2017 годах площадь вводимых в эксплуатацию жилых домов составляла  5 490,13 м. кв. По данным Департамента строительства, ЖКХ, энергетики и транспорта  НАО, в год по НАО вводится 10 тыс. кв. м. ИЖД, по МО "Городской округ "Город Нарьян-Мар" прогнозируемый ввод ИЖД – 5,5 тыс. кв.м в год. Общая площадь жилых помещений ИЖД по состоянию на 31.12.2018 составит 123,095 тыс.м2.
Ожидаемый размер общей  площади жилых помещений (МКД+ИЖД) </t>
    </r>
    <r>
      <rPr>
        <u/>
        <sz val="10"/>
        <rFont val="Times New Roman Cyr"/>
        <charset val="204"/>
      </rPr>
      <t>на 2018 год</t>
    </r>
    <r>
      <rPr>
        <sz val="10"/>
        <rFont val="Times New Roman Cyr"/>
        <charset val="204"/>
      </rPr>
      <t xml:space="preserve"> составляет 615,691 тыс.м2.
По данным Департамента строительства, ЖКХ, энергетики и транспорта  НАО </t>
    </r>
    <r>
      <rPr>
        <u/>
        <sz val="10"/>
        <rFont val="Times New Roman Cyr"/>
        <charset val="204"/>
      </rPr>
      <t>в 2019 году</t>
    </r>
    <r>
      <rPr>
        <sz val="10"/>
        <rFont val="Times New Roman Cyr"/>
        <charset val="204"/>
      </rPr>
      <t xml:space="preserve"> планируется ввести в эксплуатацию 4 многоквартирных дома общей площадью – 14 675,12 кв. м.(по ул.Первомайская – ул.Т. Вылка 2 596,92 м2, по ул.Авиаторов (5 секций) 7 059,5.м2, по ул. Пионерская 3 493,8 м2, по ул.Первомайской 1 524,9 м2). 
В случае передачи Администрацией НАО Администрации МО "Городской округ "Город Нарьян-Мар" 100% жилых помещений предназначенных для расселения до конца 2019 года планируется расселение 24 многоквартирных домов жилой площадью 13 101 кв. м.
Общая площадь жилых помещений МКД по состоянию на 31.12.2019 составит 489,0851 тыс.м2.
По состоянию на 31.12.2017 в МО числится  10 общежитий общей жилой площадью 5,0846 тыс.м2, изменения показателя не планируется.
В среднем в 2015- 2017 годах площадь вводимых в эксплуатацию жилых домов составляла  5 490,13 м. кв. По данным Департамента строительства, ЖКХ, энергетики и транспорта  НАО, в год по НАО вводится 10 тыс. кв. м. ИЖД, по МО "Городской округ "Город Нарьян-Мар" прогнозируемый ввод ИЖД – 5,5 тыс. кв.м в год. Общая площадь жилых помещений ИЖД по состоянию на 31.12.2019 составит 128,595 тыс.м2.
Ожидаемый размер общей  площади жилых помещений (МКД+ИЖД) на 2019 год составляет 622,7647 тыс.м2.
</t>
    </r>
    <r>
      <rPr>
        <u/>
        <sz val="10"/>
        <rFont val="Times New Roman Cyr"/>
        <charset val="204"/>
      </rPr>
      <t>В 2020</t>
    </r>
    <r>
      <rPr>
        <sz val="10"/>
        <rFont val="Times New Roman Cyr"/>
        <charset val="204"/>
      </rPr>
      <t xml:space="preserve"> планируется ввести 2 многоквартирных дома общей площадью - 9 352,99 кв.м. (по ул.Авиаторов – 7 130,57 м2, по ул.Полярная-ул.Пырерка – 2 222,42 м2).
В случае передачи Администрацией НАО Администрации МО "Городской округ "Город Нарьян-Мар" 100% жилых помещений предназначенных для расселения до конца 2020 года планируется расселение 15 многоквартирных домов жилой площадью 9 320,9 кв. м.
Общая площадь жилых помещений МКД по состоянию на 31.12.2020 составит 489,1172 тыс.м2.
На территории МО числится  10 общежитий общей жилой площадью 5,0846 тыс.м2, изменения показателя не планируется.
В среднем в 2015- 2017 годах площадь вводимых в эксплуатацию жилых домов составляла  5 490,13 м. кв. По данным Департамента строительства, ЖКХ, энергетики и транспорта  НАО, в год по НАО вводится 10 тыс. кв. м. ИЖД, по МО "Городской округ "Город Нарьян-Мар" прогнозируемый ввод ИЖД – 5,5 тыс. кв.м в год. Общая площадь жилых помещений ИЖД по состоянию на 31.12.2020 составит 134,095 тыс.м2.
Ожидаемый размер общей  площади жилых помещений (МКД+ИЖД) на 2020 год составляет 628,297 тыс.м2.
</t>
    </r>
    <r>
      <rPr>
        <u/>
        <sz val="10"/>
        <rFont val="Times New Roman Cyr"/>
        <charset val="204"/>
      </rPr>
      <t>В 2021</t>
    </r>
    <r>
      <rPr>
        <sz val="10"/>
        <rFont val="Times New Roman Cyr"/>
        <charset val="204"/>
      </rPr>
      <t xml:space="preserve"> планируется ввести 2 многоквартирных дома общей площадью – 4 444,84 кв.м. 
В случае передачи Администрацией НАО Администрации МО "Городской округ "Город Нарьян-Мар" 100% жилых помещений предназначенных для расселения до конца 2021 года планируется расселение 9 многоквартирных домов жилой площадью 4 394,7 кв. м.
Общая площадь жилых помещений МКД по состоянию на 31.12.2021 составит 489,1674 тыс.м2.
На территории МО числится  10 общежитий общей жилой площадью 5,0846 тыс.м2, изменения показателя не планируется.
По данным Департамента строительства, ЖКХ, энергетики и транспорта  НАО, в год по НАО вводится 10 тыс. кв. м. ИЖД, по МО "Городской округ "Город Нарьян-Мар" прогнозируемый ввод ИЖД – 2,5 тыс. кв.м в год. Общая площадь жилых помещений ИЖД по состоянию на 31.12.2021 составит 136,595 тыс.м2.
Ожидаемый размер общей  площади жилых помещений (МКД+ИЖД) на 2021 год составляет 630,847 тыс.м2.
</t>
    </r>
  </si>
  <si>
    <t xml:space="preserve">По состоянию на 31.12.2017 в МО числится  851 индивидуальных жилых домов общей жилой площадью 117 595,4 м2. В среднем в 2015- 2017 годах площадь вводимых в эксплуатацию жилых домов составляла  5 490,13 м. кв. Прогнозный показатель на 2018-2021 годы  установлен на уровне среднегодового показателя. </t>
  </si>
  <si>
    <r>
      <t>Общая площадь жилых помещений в МО по состоянию на 31.12.2017 составляет 612,067 тыс. м2.
По состоянию на 31.12.2017 в МО числится 383 многоквартирный дом общей жилой площадью 489,4 тыс. м2.
За 9 месяцев 2018 года введено в эксплуатацию 3 из 10 секций многоквартирного дома по ул.Авиаторов (4 336,1м2), снесено 4 МКД (1 905,2 м2): по ул. ул. Октябрьская, д. 4 (143,1 кв. м), ул. Рыбников, д. 8А (728,5 кв. м), ул. Совхозная, д. 5 (343,9 кв. м), ул. Рыбников, д. 28 (689,7 кв. м.). 
До конца 2018 года планируется ввод в эксплуатацию 2 секций 10 секционного дома по ул. Авиаторов площадь жилых помещений составляет 2723,4 кв. м. Ввод в эксплуатацию дома учтен в показателе за 2019 год. 
В случае передачи Администрацией НАО Администрации МО "Городской округ "Город Нарьян-Мар" 100% жилых помещений предназначенных для расселения до конца 2018 года планируется расселение 12 многоквартирных домов жилой площадью 7030,7 кв. м.
Общая площадь жилых помещений МКД по состоянию н</t>
    </r>
    <r>
      <rPr>
        <i/>
        <u/>
        <sz val="10"/>
        <rFont val="Times New Roman Cyr"/>
        <charset val="204"/>
      </rPr>
      <t>а 31.12.2018</t>
    </r>
    <r>
      <rPr>
        <i/>
        <sz val="10"/>
        <rFont val="Times New Roman Cyr"/>
        <family val="1"/>
        <charset val="204"/>
      </rPr>
      <t xml:space="preserve"> составит 487,511 тыс.м2.
По данным Департамента строительства, ЖКХ, энергетики и транспорта  НАО в</t>
    </r>
    <r>
      <rPr>
        <i/>
        <u/>
        <sz val="10"/>
        <rFont val="Times New Roman Cyr"/>
        <charset val="204"/>
      </rPr>
      <t xml:space="preserve"> 2019 году </t>
    </r>
    <r>
      <rPr>
        <i/>
        <sz val="10"/>
        <rFont val="Times New Roman Cyr"/>
        <family val="1"/>
        <charset val="204"/>
      </rPr>
      <t xml:space="preserve">планируется ввести в эксплуатацию 4 многоквартирных дома общей площадью – 14 675,12 кв. м.(по ул.Первомайская – ул.Т. Вылка 2 596,92 м2, по ул.Авиаторов (5 секций) 7 059,5.м2, по ул. Пионерская 3 493,8 м2, по ул.Первомайской 1 524,9 м2). 
В случае передачи Администрацией НАО Администрации МО "Городской округ "Город Нарьян-Мар" 100% жилых помещений предназначенных для расселения до конца 2019 года планируется расселение 24 многоквартирных домов жилой площадью 13 101 кв. м.
Общая площадь жилых помещений МКД по состоянию на 31.12.2019 составит 489,0851 тыс.м2.
</t>
    </r>
    <r>
      <rPr>
        <i/>
        <u/>
        <sz val="10"/>
        <rFont val="Times New Roman Cyr"/>
        <charset val="204"/>
      </rPr>
      <t>В 2020</t>
    </r>
    <r>
      <rPr>
        <i/>
        <sz val="10"/>
        <rFont val="Times New Roman Cyr"/>
        <family val="1"/>
        <charset val="204"/>
      </rPr>
      <t xml:space="preserve"> планируется ввести 2 многоквартирных дома общей площадью - 9 352,99 кв.м. (по ул.Авиаторов – 7 130,57 м2, по ул.Полярная-ул.Пырерка – 2 222,42 м2).
В случае передачи Администрацией НАО Администрации МО "Городской округ "Город Нарьян-Мар" 100% жилых помещений предназначенных для расселения до конца 2020 года планируется расселение 15 многоквартирных домов жилой площадью 9 320,9 кв. м.
Общая площадь жилых помещений МКД по состоянию на 31.12.2020 составит 489,1172 тыс.м2.
</t>
    </r>
    <r>
      <rPr>
        <i/>
        <u/>
        <sz val="10"/>
        <rFont val="Times New Roman Cyr"/>
        <charset val="204"/>
      </rPr>
      <t xml:space="preserve">В 2021 </t>
    </r>
    <r>
      <rPr>
        <i/>
        <sz val="10"/>
        <rFont val="Times New Roman Cyr"/>
        <family val="1"/>
        <charset val="204"/>
      </rPr>
      <t xml:space="preserve">планируется ввести 2 многоквартирных дома общей площадью – 4 444,84 кв.м. 
В случае передачи Администрацией НАО Администрации МО "Городской округ "Город Нарьян-Мар" 100% жилых помещений предназначенных для расселения до конца 2021 года планируется расселение 9 многоквартирных домов жилой площадью 4 394,7 кв. м.
Общая площадь жилых помещений МКД по состоянию на 31.12.2021 составит 489,1674 тыс.м2.
</t>
    </r>
  </si>
  <si>
    <t>По состоянию на 31.12.2017 в МО числится  10 общежитий общей жилой площадью 5084,6 м2. Изменение показателя не лпанируется.</t>
  </si>
  <si>
    <t>Протяженность мун.дорог по состоянию на 31.12.2017 составляет 43,541  км. В 2018 году проведена процедура постановки на кадастровый учет большей части автомобильных дорог. В результате, постановлением Администрации МО "Городской округ "Город нарьян-Мар" от 27.07.2018 № 484 утвержден новый перечень дорог, где протяженность ряда автомобильных дорог уточнена, в связи с чем протяженность дорог в 2018 году снизилась и составила 40,528 км. В 2019 году показатель не измениться, так как в связи с высоко дотационным бюджетом МО, не предусмотрено строительствоновых дорог и реконструкция существующих. Так как в соответствии с Законом НАО от 12.07.2018 № 420-ОЗ, с 01.01.2020 года все автомобильные дороги передаются на уровень субьекта, прогнозные показатели на 2020 - 2021 годы не отражены.</t>
  </si>
  <si>
    <t xml:space="preserve">В 2018 году проведена процедура постановки на кадастровый учет большей части автомобильных дорог. В результате, постановлением Администрации МО "Городской округ "Город нарьян-Мар" от 27.07.2018 № 484 утвержден новый перечень дорог, где протяженность ряда автомобильных дорог уточнена, в связи с чем протяженность дорог в 2018 году снизилась и составила 40,528 км. По данной причине, протяженность дорог местного значения отвечающих нормативным требованиям по состоянию на 30.09.2018 тоже снизилась и составила 7,2 км.
По состоянию на 30.09.2018 из 40,528 км дорог местного значения отвечают нормативным требованиям 7,2 км по 12 дорогам: пр.Матросова - 0,347 км, ул. Ненецкая -0,509 км, ул. Победы - 0,245 км, ул. Пырерка - 0,512 км, ул. Рыбников - 0,881 км, ул. Тыко-Вылко - 0,500 км. ул. Пионерская – 0,428 км., ул. Сущинского - 0,71 км.; ул. Швецова - 0,606 км.; ул. Полярная-ул. Рыбников - 0,889 км.;  ул. Рыбников-ЦОС - 0,485 км, ул. Российская - 1,119 км. Показатель до конца 2018 года не изменится.
В 2019 году показатель не измениться, так как в связи с высоко дотационным бюджетом МО, не предусмотрено строительство новых дорог и реконструкция существующих. 
Прогнозные показатели на 2020 - 2021 годы не указаны, так как в соответствии с Законом НАО от 12.07.2018 № 420-ОЗ, с 01.01.2020 года все автомобильные дороги передаются на уровень субъекта. 
</t>
  </si>
  <si>
    <t>Уточненный прогноз социально-экономического развития МО "Городской округ "Город Нарьян-Мар" на 2018 год и плановый период 2019-2021 годов</t>
  </si>
  <si>
    <t xml:space="preserve">В 2018 году объем налоговых и неналоговых доходов городского бюджета прогнозируется в сумме 603,5 млн. рублей, что на 15,0 млн. рублей или 2,5% больше, чем в  2017 году (за 2017 год – 588,5 млн. рублей).
Основной причиной роста доходов является поступления с 01.01.2018 отчислений от налога, взимаемого в связи с применением упрощенной системы налогообложения, в том числе минимального налога, зачисляемого в бюджет Ненецкого автономного округа, (в размере 25 процентов), в связи с изменениями, внесенными в Закон НАО от 31.10.2013 N 91-ОЗ "О нормативах отчислений от налогов в бюджеты муниципальных образований Ненецкого автономного округа".
Кроме того, рост налоговых доходов связан с увеличением поступлений по НДФЛ в связи с ростом доходов физических лиц, (исходя из поступлений за 9 месяцев 2018 года), в том числе вследствие увеличения  величины МРОТ с 01.05.2018.
Также, в 2018 году наблюдается рост объема субсидий и иных межбюджетных трансфертов из окружного бюджета, объем которых в 2018 году составляет 226 млн. рублей (за 2017 год – 223,5 млн. рублей).
В 2019 году планируется рост показателя - за счет увеличения объема субсидий из окружного бюджета и роста собственных налоговых и неналоговых доходов.
В 2020-2021 годах прогнозируется снижение показателя доходов местного бюджета, несмотря на рост собственных налоговых и неналоговых доходов, за счет снижения объема субсидий из окружного бюджета.
</t>
  </si>
  <si>
    <t xml:space="preserve">Значение данного показателя соответствует значению показателя статистической формы "1-МБ", которая заполняется в соответствии с Приказом Росстата от 01.08.2017 №509 "Об утверждении статистического инструментария для организации федерального статистического наблюдения за ценами и финансами".
В 2018 году ожидается рос показателя, который составит 8 012,88  рублей (за 2017 год – 7 205,7 рублей), в связи с реорганизацией с 1 января 2018 года Управления строительства, жилищно-коммунального хозяйства и градостроительной деятельности, путем его вливания в Администрацию МО "Городской округ "Город Нарьян-Мар".
На 2019 -2021 годы расходы на содержание работников органов местного самоуправления запланированы на уровне предыдущего года, но с учетом расходов на содержание работников Управления строительства, жилищно-коммунального хозяйства и градостроительной деятельности в связи с реорганизацией данного юридического лица.
</t>
  </si>
  <si>
    <t>показатель поределен расчетным путем</t>
  </si>
</sst>
</file>

<file path=xl/styles.xml><?xml version="1.0" encoding="utf-8"?>
<styleSheet xmlns="http://schemas.openxmlformats.org/spreadsheetml/2006/main">
  <numFmts count="11">
    <numFmt numFmtId="164" formatCode="0.0"/>
    <numFmt numFmtId="165" formatCode="_(* #,##0.00_);_(* \(#,##0.00\);_(* &quot;-&quot;??_);_(@_)"/>
    <numFmt numFmtId="166" formatCode="0.0%"/>
    <numFmt numFmtId="167" formatCode="#,##0.0"/>
    <numFmt numFmtId="168" formatCode="_(* #,##0.0_);_(* \(#,##0.0\);_(* &quot;-&quot;??_);_(@_)"/>
    <numFmt numFmtId="169" formatCode="_(* #,##0_);_(* \(#,##0\);_(* &quot;-&quot;??_);_(@_)"/>
    <numFmt numFmtId="170" formatCode="0.000"/>
    <numFmt numFmtId="171" formatCode="#,##0.000"/>
    <numFmt numFmtId="172" formatCode="_-* #,##0.000_р_._-;\-* #,##0.000_р_._-;_-* &quot;-&quot;???_р_._-;_-@_-"/>
    <numFmt numFmtId="173" formatCode="_-* #,##0.000_р_._-;\-* #,##0.000_р_._-;_-* &quot;-&quot;?_р_._-;_-@_-"/>
    <numFmt numFmtId="174" formatCode="_(* #,##0.000_);_(* \(#,##0.000\);_(* &quot;-&quot;??_);_(@_)"/>
  </numFmts>
  <fonts count="34">
    <font>
      <sz val="10"/>
      <name val="Arial"/>
    </font>
    <font>
      <sz val="10"/>
      <name val="Arial"/>
      <family val="2"/>
      <charset val="204"/>
    </font>
    <font>
      <sz val="10"/>
      <name val="Times New Roman Cyr"/>
      <family val="1"/>
      <charset val="204"/>
    </font>
    <font>
      <b/>
      <sz val="11"/>
      <name val="Times New Roman CYR"/>
      <family val="1"/>
      <charset val="204"/>
    </font>
    <font>
      <sz val="11"/>
      <name val="Times New Roman Cyr"/>
      <family val="1"/>
      <charset val="204"/>
    </font>
    <font>
      <b/>
      <sz val="11"/>
      <name val="Times New Roman"/>
      <family val="1"/>
    </font>
    <font>
      <sz val="11"/>
      <name val="Arial"/>
      <family val="2"/>
      <charset val="204"/>
    </font>
    <font>
      <sz val="11"/>
      <name val="Times New Roman"/>
      <family val="1"/>
      <charset val="204"/>
    </font>
    <font>
      <b/>
      <sz val="11"/>
      <name val="Times New Roman"/>
      <family val="1"/>
      <charset val="204"/>
    </font>
    <font>
      <i/>
      <sz val="11"/>
      <name val="Times New Roman CYR"/>
      <family val="1"/>
      <charset val="204"/>
    </font>
    <font>
      <i/>
      <u/>
      <sz val="11"/>
      <name val="Times New Roman CYR"/>
      <family val="1"/>
      <charset val="204"/>
    </font>
    <font>
      <sz val="11"/>
      <name val="Times New Roman CYR"/>
      <charset val="204"/>
    </font>
    <font>
      <b/>
      <sz val="11"/>
      <name val="Times New Roman CYR"/>
      <charset val="204"/>
    </font>
    <font>
      <b/>
      <sz val="11"/>
      <color rgb="FFFF0000"/>
      <name val="Times New Roman CYR"/>
      <charset val="204"/>
    </font>
    <font>
      <b/>
      <sz val="10"/>
      <name val="Times New Roman Cyr"/>
      <charset val="204"/>
    </font>
    <font>
      <b/>
      <sz val="11"/>
      <color rgb="FFFF0000"/>
      <name val="Times New Roman CYR"/>
      <family val="1"/>
      <charset val="204"/>
    </font>
    <font>
      <b/>
      <sz val="10"/>
      <name val="Times New Roman CYR"/>
      <family val="1"/>
      <charset val="204"/>
    </font>
    <font>
      <b/>
      <sz val="10"/>
      <name val="Times New Roman"/>
      <family val="1"/>
    </font>
    <font>
      <sz val="11"/>
      <color rgb="FFFF0000"/>
      <name val="Times New Roman Cyr"/>
      <family val="1"/>
      <charset val="204"/>
    </font>
    <font>
      <sz val="12"/>
      <color rgb="FFFF0000"/>
      <name val="Times New Roman Cyr"/>
      <family val="1"/>
      <charset val="204"/>
    </font>
    <font>
      <sz val="11"/>
      <color rgb="FFFF0000"/>
      <name val="Times New Roman"/>
      <family val="1"/>
      <charset val="204"/>
    </font>
    <font>
      <sz val="10"/>
      <name val="Times New Roman"/>
      <family val="1"/>
      <charset val="204"/>
    </font>
    <font>
      <b/>
      <sz val="9"/>
      <color indexed="81"/>
      <name val="Tahoma"/>
      <family val="2"/>
      <charset val="204"/>
    </font>
    <font>
      <sz val="9"/>
      <color indexed="81"/>
      <name val="Tahoma"/>
      <family val="2"/>
      <charset val="204"/>
    </font>
    <font>
      <sz val="10"/>
      <name val="Times New Roman Cyr"/>
      <charset val="204"/>
    </font>
    <font>
      <u/>
      <sz val="10"/>
      <name val="Times New Roman Cyr"/>
      <charset val="204"/>
    </font>
    <font>
      <i/>
      <sz val="11"/>
      <name val="Times New Roman"/>
      <family val="1"/>
      <charset val="204"/>
    </font>
    <font>
      <i/>
      <sz val="10"/>
      <name val="Times New Roman Cyr"/>
      <family val="1"/>
      <charset val="204"/>
    </font>
    <font>
      <i/>
      <u/>
      <sz val="10"/>
      <name val="Times New Roman Cyr"/>
      <charset val="204"/>
    </font>
    <font>
      <i/>
      <sz val="10"/>
      <name val="Times New Roman Cyr"/>
      <charset val="204"/>
    </font>
    <font>
      <i/>
      <sz val="10"/>
      <name val="Times New Roman"/>
      <family val="1"/>
      <charset val="204"/>
    </font>
    <font>
      <i/>
      <sz val="10"/>
      <color rgb="FFFF0000"/>
      <name val="Times New Roman Cyr"/>
      <family val="1"/>
      <charset val="204"/>
    </font>
    <font>
      <sz val="12"/>
      <name val="Times New Roman"/>
      <family val="1"/>
      <charset val="204"/>
    </font>
    <font>
      <i/>
      <sz val="12"/>
      <name val="Times New Roman Cyr"/>
      <family val="1"/>
      <charset val="204"/>
    </font>
  </fonts>
  <fills count="6">
    <fill>
      <patternFill patternType="none"/>
    </fill>
    <fill>
      <patternFill patternType="gray125"/>
    </fill>
    <fill>
      <patternFill patternType="solid">
        <fgColor theme="0"/>
        <bgColor indexed="64"/>
      </patternFill>
    </fill>
    <fill>
      <patternFill patternType="solid">
        <fgColor theme="0"/>
        <bgColor indexed="34"/>
      </patternFill>
    </fill>
    <fill>
      <patternFill patternType="solid">
        <fgColor theme="0"/>
        <bgColor indexed="26"/>
      </patternFill>
    </fill>
    <fill>
      <patternFill patternType="solid">
        <fgColor rgb="FFFFFF00"/>
        <bgColor indexed="64"/>
      </patternFill>
    </fill>
  </fills>
  <borders count="12">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8"/>
      </left>
      <right style="thin">
        <color indexed="8"/>
      </right>
      <top style="thin">
        <color indexed="8"/>
      </top>
      <bottom style="thin">
        <color indexed="8"/>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s>
  <cellStyleXfs count="3">
    <xf numFmtId="0" fontId="0" fillId="0" borderId="0"/>
    <xf numFmtId="165" fontId="1" fillId="0" borderId="0" applyFont="0" applyFill="0" applyBorder="0" applyAlignment="0" applyProtection="0"/>
    <xf numFmtId="9" fontId="1" fillId="0" borderId="0" applyFont="0" applyFill="0" applyBorder="0" applyAlignment="0" applyProtection="0"/>
  </cellStyleXfs>
  <cellXfs count="194">
    <xf numFmtId="0" fontId="0" fillId="0" borderId="0" xfId="0"/>
    <xf numFmtId="0" fontId="7" fillId="2" borderId="2" xfId="0" applyFont="1" applyFill="1" applyBorder="1" applyAlignment="1">
      <alignment horizontal="justify" vertical="top" wrapText="1"/>
    </xf>
    <xf numFmtId="1" fontId="2" fillId="2" borderId="2" xfId="1" applyNumberFormat="1" applyFont="1" applyFill="1" applyBorder="1" applyAlignment="1">
      <alignment horizontal="center"/>
    </xf>
    <xf numFmtId="164" fontId="4" fillId="2" borderId="2" xfId="1" applyNumberFormat="1" applyFont="1" applyFill="1" applyBorder="1" applyAlignment="1">
      <alignment horizontal="center"/>
    </xf>
    <xf numFmtId="167" fontId="7" fillId="3" borderId="2" xfId="0" applyNumberFormat="1" applyFont="1" applyFill="1" applyBorder="1" applyAlignment="1">
      <alignment horizontal="center"/>
    </xf>
    <xf numFmtId="0" fontId="4" fillId="2" borderId="0" xfId="0" applyFont="1" applyFill="1" applyAlignment="1">
      <alignment horizontal="center"/>
    </xf>
    <xf numFmtId="0" fontId="4" fillId="2" borderId="2" xfId="0" applyFont="1" applyFill="1" applyBorder="1" applyAlignment="1">
      <alignment horizontal="center"/>
    </xf>
    <xf numFmtId="0" fontId="4" fillId="2" borderId="0" xfId="0" applyFont="1" applyFill="1" applyBorder="1" applyAlignment="1">
      <alignment horizontal="center"/>
    </xf>
    <xf numFmtId="168" fontId="4" fillId="2" borderId="2" xfId="1" applyNumberFormat="1" applyFont="1" applyFill="1" applyBorder="1" applyAlignment="1">
      <alignment horizontal="center"/>
    </xf>
    <xf numFmtId="167" fontId="4" fillId="2" borderId="2" xfId="1" applyNumberFormat="1" applyFont="1" applyFill="1" applyBorder="1" applyAlignment="1">
      <alignment horizontal="center"/>
    </xf>
    <xf numFmtId="165" fontId="6" fillId="2" borderId="0" xfId="1" applyFont="1" applyFill="1" applyAlignment="1">
      <alignment horizontal="center"/>
    </xf>
    <xf numFmtId="0" fontId="6" fillId="2" borderId="0" xfId="0" applyFont="1" applyFill="1" applyBorder="1" applyAlignment="1">
      <alignment horizontal="center"/>
    </xf>
    <xf numFmtId="0" fontId="6" fillId="2" borderId="0" xfId="0" applyFont="1" applyFill="1" applyAlignment="1">
      <alignment horizontal="center"/>
    </xf>
    <xf numFmtId="1" fontId="2" fillId="2" borderId="2" xfId="1" applyNumberFormat="1" applyFont="1" applyFill="1" applyBorder="1" applyAlignment="1">
      <alignment horizontal="center" wrapText="1"/>
    </xf>
    <xf numFmtId="0" fontId="7" fillId="2" borderId="2" xfId="0" applyFont="1" applyFill="1" applyBorder="1" applyAlignment="1">
      <alignment horizontal="center" vertical="top"/>
    </xf>
    <xf numFmtId="4" fontId="4" fillId="2" borderId="2" xfId="1" applyNumberFormat="1" applyFont="1" applyFill="1" applyBorder="1" applyAlignment="1">
      <alignment horizontal="center"/>
    </xf>
    <xf numFmtId="4" fontId="2" fillId="2" borderId="2" xfId="1" applyNumberFormat="1" applyFont="1" applyFill="1" applyBorder="1" applyAlignment="1">
      <alignment horizontal="center"/>
    </xf>
    <xf numFmtId="168" fontId="4" fillId="2" borderId="2" xfId="0" applyNumberFormat="1" applyFont="1" applyFill="1" applyBorder="1" applyAlignment="1">
      <alignment horizontal="center"/>
    </xf>
    <xf numFmtId="164" fontId="4" fillId="2" borderId="0" xfId="0" applyNumberFormat="1" applyFont="1" applyFill="1" applyAlignment="1">
      <alignment horizontal="center"/>
    </xf>
    <xf numFmtId="164" fontId="3" fillId="2" borderId="2" xfId="0" applyNumberFormat="1" applyFont="1" applyFill="1" applyBorder="1" applyAlignment="1">
      <alignment horizontal="center" vertical="top"/>
    </xf>
    <xf numFmtId="164" fontId="3" fillId="2" borderId="2" xfId="0" applyNumberFormat="1" applyFont="1" applyFill="1" applyBorder="1" applyAlignment="1">
      <alignment horizontal="center" vertical="top" wrapText="1"/>
    </xf>
    <xf numFmtId="0" fontId="5" fillId="2" borderId="2" xfId="0" applyFont="1" applyFill="1" applyBorder="1" applyAlignment="1">
      <alignment horizontal="center" vertical="top" wrapText="1"/>
    </xf>
    <xf numFmtId="2" fontId="4" fillId="2" borderId="2" xfId="1" applyNumberFormat="1" applyFont="1" applyFill="1" applyBorder="1" applyAlignment="1">
      <alignment horizontal="center"/>
    </xf>
    <xf numFmtId="168" fontId="7" fillId="2" borderId="2" xfId="1" applyNumberFormat="1" applyFont="1" applyFill="1" applyBorder="1" applyAlignment="1">
      <alignment horizontal="center" wrapText="1"/>
    </xf>
    <xf numFmtId="1" fontId="4" fillId="2" borderId="2" xfId="1" applyNumberFormat="1" applyFont="1" applyFill="1" applyBorder="1" applyAlignment="1">
      <alignment horizontal="center"/>
    </xf>
    <xf numFmtId="1" fontId="4" fillId="2" borderId="0" xfId="0" applyNumberFormat="1" applyFont="1" applyFill="1" applyAlignment="1">
      <alignment horizontal="center"/>
    </xf>
    <xf numFmtId="170" fontId="7" fillId="2" borderId="7" xfId="0" applyNumberFormat="1" applyFont="1" applyFill="1" applyBorder="1" applyAlignment="1">
      <alignment horizontal="center"/>
    </xf>
    <xf numFmtId="170" fontId="4" fillId="2" borderId="2" xfId="1" applyNumberFormat="1" applyFont="1" applyFill="1" applyBorder="1" applyAlignment="1">
      <alignment horizontal="center"/>
    </xf>
    <xf numFmtId="164" fontId="4" fillId="2" borderId="2" xfId="1" applyNumberFormat="1" applyFont="1" applyFill="1" applyBorder="1" applyAlignment="1">
      <alignment horizontal="center" wrapText="1"/>
    </xf>
    <xf numFmtId="0" fontId="0" fillId="2" borderId="2" xfId="0" applyFill="1" applyBorder="1" applyAlignment="1">
      <alignment horizontal="center"/>
    </xf>
    <xf numFmtId="167" fontId="4" fillId="2" borderId="2" xfId="1" applyNumberFormat="1" applyFont="1" applyFill="1" applyBorder="1" applyAlignment="1">
      <alignment horizontal="center" wrapText="1"/>
    </xf>
    <xf numFmtId="167" fontId="13" fillId="2" borderId="2" xfId="1" applyNumberFormat="1" applyFont="1" applyFill="1" applyBorder="1" applyAlignment="1">
      <alignment horizontal="center"/>
    </xf>
    <xf numFmtId="2" fontId="4" fillId="2" borderId="2" xfId="1" applyNumberFormat="1" applyFont="1" applyFill="1" applyBorder="1" applyAlignment="1">
      <alignment horizontal="center" wrapText="1"/>
    </xf>
    <xf numFmtId="0" fontId="0" fillId="2" borderId="0" xfId="0" applyFill="1" applyAlignment="1">
      <alignment horizontal="center"/>
    </xf>
    <xf numFmtId="0" fontId="4" fillId="2" borderId="0" xfId="0" applyFont="1" applyFill="1"/>
    <xf numFmtId="0" fontId="4" fillId="2" borderId="0" xfId="0" applyFont="1" applyFill="1" applyAlignment="1">
      <alignment horizontal="right" wrapText="1"/>
    </xf>
    <xf numFmtId="0" fontId="3" fillId="2" borderId="0" xfId="0" applyFont="1" applyFill="1" applyAlignment="1">
      <alignment horizontal="center"/>
    </xf>
    <xf numFmtId="164" fontId="15" fillId="2" borderId="2" xfId="0" applyNumberFormat="1" applyFont="1" applyFill="1" applyBorder="1" applyAlignment="1">
      <alignment horizontal="center" vertical="top" wrapText="1"/>
    </xf>
    <xf numFmtId="164" fontId="16" fillId="2" borderId="2" xfId="0" applyNumberFormat="1" applyFont="1" applyFill="1" applyBorder="1" applyAlignment="1">
      <alignment horizontal="center" vertical="top" wrapText="1"/>
    </xf>
    <xf numFmtId="0" fontId="17" fillId="2" borderId="2" xfId="0" applyFont="1" applyFill="1" applyBorder="1" applyAlignment="1">
      <alignment horizontal="center" vertical="top" wrapText="1"/>
    </xf>
    <xf numFmtId="170" fontId="3" fillId="2" borderId="2" xfId="0" applyNumberFormat="1" applyFont="1" applyFill="1" applyBorder="1" applyAlignment="1">
      <alignment horizontal="center" vertical="top" wrapText="1"/>
    </xf>
    <xf numFmtId="170" fontId="3" fillId="2" borderId="2" xfId="0" applyNumberFormat="1" applyFont="1" applyFill="1" applyBorder="1" applyAlignment="1">
      <alignment horizontal="center" vertical="top"/>
    </xf>
    <xf numFmtId="0" fontId="3" fillId="2" borderId="2" xfId="0" applyFont="1" applyFill="1" applyBorder="1" applyAlignment="1">
      <alignment wrapText="1"/>
    </xf>
    <xf numFmtId="0" fontId="6" fillId="2" borderId="2" xfId="0" applyFont="1" applyFill="1" applyBorder="1" applyAlignment="1">
      <alignment wrapText="1"/>
    </xf>
    <xf numFmtId="0" fontId="6" fillId="2" borderId="2" xfId="0" applyFont="1" applyFill="1" applyBorder="1" applyAlignment="1">
      <alignment horizontal="center" wrapText="1"/>
    </xf>
    <xf numFmtId="170" fontId="18" fillId="2" borderId="2" xfId="1" applyNumberFormat="1" applyFont="1" applyFill="1" applyBorder="1" applyAlignment="1">
      <alignment horizontal="center"/>
    </xf>
    <xf numFmtId="166" fontId="4" fillId="2" borderId="2" xfId="2" applyNumberFormat="1" applyFont="1" applyFill="1" applyBorder="1" applyAlignment="1">
      <alignment horizontal="center"/>
    </xf>
    <xf numFmtId="164" fontId="4" fillId="2" borderId="2" xfId="0" applyNumberFormat="1" applyFont="1" applyFill="1" applyBorder="1" applyAlignment="1">
      <alignment horizontal="center" wrapText="1"/>
    </xf>
    <xf numFmtId="164" fontId="18" fillId="2" borderId="2" xfId="1" applyNumberFormat="1" applyFont="1" applyFill="1" applyBorder="1" applyAlignment="1">
      <alignment horizontal="center"/>
    </xf>
    <xf numFmtId="0" fontId="8" fillId="2" borderId="2" xfId="0" applyFont="1" applyFill="1" applyBorder="1" applyAlignment="1">
      <alignment horizontal="justify" vertical="top" wrapText="1"/>
    </xf>
    <xf numFmtId="168" fontId="18" fillId="2" borderId="2" xfId="1" applyNumberFormat="1" applyFont="1" applyFill="1" applyBorder="1" applyAlignment="1">
      <alignment horizontal="center"/>
    </xf>
    <xf numFmtId="170" fontId="7" fillId="2" borderId="2" xfId="0" applyNumberFormat="1" applyFont="1" applyFill="1" applyBorder="1" applyAlignment="1">
      <alignment horizontal="center"/>
    </xf>
    <xf numFmtId="171" fontId="7" fillId="2" borderId="7" xfId="0" applyNumberFormat="1" applyFont="1" applyFill="1" applyBorder="1" applyAlignment="1">
      <alignment horizontal="center"/>
    </xf>
    <xf numFmtId="3" fontId="4" fillId="2" borderId="2" xfId="1" applyNumberFormat="1" applyFont="1" applyFill="1" applyBorder="1" applyAlignment="1">
      <alignment horizontal="center"/>
    </xf>
    <xf numFmtId="171" fontId="7" fillId="2" borderId="2" xfId="0" applyNumberFormat="1" applyFont="1" applyFill="1" applyBorder="1" applyAlignment="1">
      <alignment horizontal="center"/>
    </xf>
    <xf numFmtId="171" fontId="4" fillId="2" borderId="2" xfId="1" applyNumberFormat="1" applyFont="1" applyFill="1" applyBorder="1" applyAlignment="1">
      <alignment horizontal="center"/>
    </xf>
    <xf numFmtId="167" fontId="7" fillId="2" borderId="2" xfId="0" applyNumberFormat="1" applyFont="1" applyFill="1" applyBorder="1" applyAlignment="1">
      <alignment horizontal="center"/>
    </xf>
    <xf numFmtId="1" fontId="18" fillId="2" borderId="2" xfId="1" applyNumberFormat="1" applyFont="1" applyFill="1" applyBorder="1" applyAlignment="1">
      <alignment horizontal="center"/>
    </xf>
    <xf numFmtId="1" fontId="4" fillId="2" borderId="2" xfId="1" applyNumberFormat="1" applyFont="1" applyFill="1" applyBorder="1" applyAlignment="1">
      <alignment horizontal="center" wrapText="1"/>
    </xf>
    <xf numFmtId="0" fontId="7" fillId="2" borderId="2" xfId="0" applyFont="1" applyFill="1" applyBorder="1" applyAlignment="1">
      <alignment horizontal="left" vertical="top" wrapText="1"/>
    </xf>
    <xf numFmtId="0" fontId="7" fillId="2" borderId="2" xfId="0" applyFont="1" applyFill="1" applyBorder="1" applyAlignment="1">
      <alignment horizontal="left" vertical="top"/>
    </xf>
    <xf numFmtId="0" fontId="20" fillId="2" borderId="2" xfId="0" applyFont="1" applyFill="1" applyBorder="1" applyAlignment="1">
      <alignment horizontal="center"/>
    </xf>
    <xf numFmtId="0" fontId="7" fillId="2" borderId="2" xfId="0" applyFont="1" applyFill="1" applyBorder="1" applyAlignment="1">
      <alignment horizontal="center"/>
    </xf>
    <xf numFmtId="0" fontId="7" fillId="2" borderId="2" xfId="0" applyFont="1" applyFill="1" applyBorder="1" applyAlignment="1">
      <alignment horizontal="center" wrapText="1"/>
    </xf>
    <xf numFmtId="164" fontId="6" fillId="2" borderId="2" xfId="0" applyNumberFormat="1" applyFont="1" applyFill="1" applyBorder="1" applyAlignment="1">
      <alignment horizontal="center" wrapText="1"/>
    </xf>
    <xf numFmtId="49" fontId="4" fillId="2" borderId="2" xfId="1" applyNumberFormat="1" applyFont="1" applyFill="1" applyBorder="1" applyAlignment="1">
      <alignment horizontal="center"/>
    </xf>
    <xf numFmtId="0" fontId="6" fillId="2" borderId="0" xfId="0" applyFont="1" applyFill="1" applyBorder="1" applyAlignment="1"/>
    <xf numFmtId="0" fontId="9" fillId="2" borderId="0" xfId="0" applyFont="1" applyFill="1" applyBorder="1" applyAlignment="1">
      <alignment wrapText="1"/>
    </xf>
    <xf numFmtId="0" fontId="9" fillId="2" borderId="1" xfId="0" applyFont="1" applyFill="1" applyBorder="1" applyAlignment="1">
      <alignment wrapText="1"/>
    </xf>
    <xf numFmtId="0" fontId="9" fillId="2" borderId="3" xfId="0" applyFont="1" applyFill="1" applyBorder="1" applyAlignment="1">
      <alignment wrapText="1"/>
    </xf>
    <xf numFmtId="1" fontId="4" fillId="2" borderId="0" xfId="0" applyNumberFormat="1" applyFont="1" applyFill="1"/>
    <xf numFmtId="49" fontId="7" fillId="2" borderId="2" xfId="0" applyNumberFormat="1" applyFont="1" applyFill="1" applyBorder="1" applyAlignment="1">
      <alignment horizontal="left" vertical="top" wrapText="1"/>
    </xf>
    <xf numFmtId="0" fontId="8" fillId="2" borderId="2" xfId="0" applyFont="1" applyFill="1" applyBorder="1" applyAlignment="1">
      <alignment horizontal="left" vertical="top" wrapText="1"/>
    </xf>
    <xf numFmtId="1" fontId="7" fillId="2" borderId="2" xfId="0" applyNumberFormat="1" applyFont="1" applyFill="1" applyBorder="1" applyAlignment="1">
      <alignment horizontal="center"/>
    </xf>
    <xf numFmtId="166" fontId="4" fillId="2" borderId="2" xfId="2" applyNumberFormat="1" applyFont="1" applyFill="1" applyBorder="1" applyAlignment="1">
      <alignment horizontal="center" wrapText="1"/>
    </xf>
    <xf numFmtId="164" fontId="7" fillId="2" borderId="2" xfId="0" applyNumberFormat="1" applyFont="1" applyFill="1" applyBorder="1" applyAlignment="1">
      <alignment horizontal="center"/>
    </xf>
    <xf numFmtId="0" fontId="7" fillId="3" borderId="2" xfId="0" applyFont="1" applyFill="1" applyBorder="1" applyAlignment="1">
      <alignment horizontal="center"/>
    </xf>
    <xf numFmtId="3" fontId="7" fillId="2" borderId="2" xfId="0" applyNumberFormat="1" applyFont="1" applyFill="1" applyBorder="1" applyAlignment="1">
      <alignment horizontal="center"/>
    </xf>
    <xf numFmtId="167" fontId="7" fillId="4" borderId="2" xfId="0" applyNumberFormat="1" applyFont="1" applyFill="1" applyBorder="1" applyAlignment="1">
      <alignment horizontal="center"/>
    </xf>
    <xf numFmtId="167" fontId="7" fillId="2" borderId="2" xfId="1" applyNumberFormat="1" applyFont="1" applyFill="1" applyBorder="1" applyAlignment="1">
      <alignment horizontal="center" wrapText="1"/>
    </xf>
    <xf numFmtId="167" fontId="7" fillId="2" borderId="2" xfId="1" applyNumberFormat="1" applyFont="1" applyFill="1" applyBorder="1" applyAlignment="1">
      <alignment horizontal="center"/>
    </xf>
    <xf numFmtId="0" fontId="4" fillId="2" borderId="2" xfId="0" applyFont="1" applyFill="1" applyBorder="1" applyAlignment="1">
      <alignment horizontal="center" vertical="top"/>
    </xf>
    <xf numFmtId="14" fontId="4" fillId="2" borderId="2" xfId="0" applyNumberFormat="1" applyFont="1" applyFill="1" applyBorder="1" applyAlignment="1">
      <alignment horizontal="center" vertical="top"/>
    </xf>
    <xf numFmtId="0" fontId="3" fillId="2" borderId="2" xfId="0" applyFont="1" applyFill="1" applyBorder="1" applyAlignment="1">
      <alignment horizontal="center" vertical="top"/>
    </xf>
    <xf numFmtId="169" fontId="4" fillId="2" borderId="2" xfId="1" applyNumberFormat="1" applyFont="1" applyFill="1" applyBorder="1" applyAlignment="1">
      <alignment horizontal="center"/>
    </xf>
    <xf numFmtId="166" fontId="4" fillId="2" borderId="0" xfId="2" applyNumberFormat="1" applyFont="1" applyFill="1" applyAlignment="1"/>
    <xf numFmtId="0" fontId="2" fillId="2" borderId="0" xfId="0" applyFont="1" applyFill="1"/>
    <xf numFmtId="2" fontId="7" fillId="2" borderId="2" xfId="0" applyNumberFormat="1" applyFont="1" applyFill="1" applyBorder="1" applyAlignment="1">
      <alignment horizontal="center"/>
    </xf>
    <xf numFmtId="173" fontId="6" fillId="2" borderId="2" xfId="0" applyNumberFormat="1" applyFont="1" applyFill="1" applyBorder="1" applyAlignment="1">
      <alignment horizontal="center" wrapText="1"/>
    </xf>
    <xf numFmtId="169" fontId="7" fillId="2" borderId="2" xfId="0" applyNumberFormat="1" applyFont="1" applyFill="1" applyBorder="1" applyAlignment="1">
      <alignment horizontal="center"/>
    </xf>
    <xf numFmtId="0" fontId="27" fillId="2" borderId="0" xfId="0" applyFont="1" applyFill="1"/>
    <xf numFmtId="0" fontId="27" fillId="2" borderId="2" xfId="0" applyFont="1" applyFill="1" applyBorder="1" applyAlignment="1">
      <alignment horizontal="center" vertical="top"/>
    </xf>
    <xf numFmtId="0" fontId="30" fillId="2" borderId="2" xfId="0" applyFont="1" applyFill="1" applyBorder="1" applyAlignment="1">
      <alignment horizontal="left" vertical="top" wrapText="1"/>
    </xf>
    <xf numFmtId="0" fontId="27" fillId="2" borderId="2" xfId="0" applyFont="1" applyFill="1" applyBorder="1" applyAlignment="1">
      <alignment horizontal="center"/>
    </xf>
    <xf numFmtId="1" fontId="27" fillId="2" borderId="2" xfId="1" applyNumberFormat="1" applyFont="1" applyFill="1" applyBorder="1" applyAlignment="1">
      <alignment horizontal="center"/>
    </xf>
    <xf numFmtId="170" fontId="27" fillId="2" borderId="2" xfId="1" applyNumberFormat="1" applyFont="1" applyFill="1" applyBorder="1" applyAlignment="1">
      <alignment horizontal="center"/>
    </xf>
    <xf numFmtId="164" fontId="27" fillId="2" borderId="2" xfId="1" applyNumberFormat="1" applyFont="1" applyFill="1" applyBorder="1" applyAlignment="1">
      <alignment horizontal="center"/>
    </xf>
    <xf numFmtId="2" fontId="27" fillId="2" borderId="2" xfId="1" applyNumberFormat="1" applyFont="1" applyFill="1" applyBorder="1" applyAlignment="1">
      <alignment horizontal="center" wrapText="1"/>
    </xf>
    <xf numFmtId="164" fontId="27" fillId="2" borderId="2" xfId="1" applyNumberFormat="1" applyFont="1" applyFill="1" applyBorder="1" applyAlignment="1">
      <alignment horizontal="center" wrapText="1"/>
    </xf>
    <xf numFmtId="167" fontId="27" fillId="2" borderId="2" xfId="1" applyNumberFormat="1" applyFont="1" applyFill="1" applyBorder="1" applyAlignment="1">
      <alignment horizontal="center" wrapText="1"/>
    </xf>
    <xf numFmtId="167" fontId="27" fillId="2" borderId="2" xfId="0" applyNumberFormat="1" applyFont="1" applyFill="1" applyBorder="1" applyAlignment="1">
      <alignment horizontal="center"/>
    </xf>
    <xf numFmtId="167" fontId="27" fillId="2" borderId="2" xfId="1" applyNumberFormat="1" applyFont="1" applyFill="1" applyBorder="1" applyAlignment="1">
      <alignment horizontal="center"/>
    </xf>
    <xf numFmtId="0" fontId="27" fillId="2" borderId="8" xfId="0" applyFont="1" applyFill="1" applyBorder="1" applyAlignment="1">
      <alignment vertical="top" wrapText="1"/>
    </xf>
    <xf numFmtId="166" fontId="31" fillId="2" borderId="0" xfId="2" applyNumberFormat="1" applyFont="1" applyFill="1" applyAlignment="1"/>
    <xf numFmtId="166" fontId="27" fillId="2" borderId="0" xfId="2" applyNumberFormat="1" applyFont="1" applyFill="1" applyAlignment="1"/>
    <xf numFmtId="0" fontId="24" fillId="2" borderId="8" xfId="0" applyFont="1" applyFill="1" applyBorder="1" applyAlignment="1">
      <alignment vertical="top" wrapText="1"/>
    </xf>
    <xf numFmtId="0" fontId="9" fillId="2" borderId="2" xfId="0" applyFont="1" applyFill="1" applyBorder="1" applyAlignment="1">
      <alignment horizontal="center" vertical="top"/>
    </xf>
    <xf numFmtId="0" fontId="26" fillId="2" borderId="2" xfId="0" applyFont="1" applyFill="1" applyBorder="1" applyAlignment="1">
      <alignment horizontal="left" vertical="top" wrapText="1"/>
    </xf>
    <xf numFmtId="0" fontId="9" fillId="2" borderId="2" xfId="0" applyFont="1" applyFill="1" applyBorder="1" applyAlignment="1">
      <alignment horizontal="center"/>
    </xf>
    <xf numFmtId="169" fontId="9" fillId="2" borderId="2" xfId="1" applyNumberFormat="1" applyFont="1" applyFill="1" applyBorder="1" applyAlignment="1">
      <alignment horizontal="center"/>
    </xf>
    <xf numFmtId="1" fontId="9" fillId="2" borderId="2" xfId="1" applyNumberFormat="1" applyFont="1" applyFill="1" applyBorder="1" applyAlignment="1">
      <alignment horizontal="center"/>
    </xf>
    <xf numFmtId="164" fontId="9" fillId="2" borderId="2" xfId="1" applyNumberFormat="1" applyFont="1" applyFill="1" applyBorder="1" applyAlignment="1">
      <alignment horizontal="center"/>
    </xf>
    <xf numFmtId="164" fontId="9" fillId="2" borderId="2" xfId="1" applyNumberFormat="1" applyFont="1" applyFill="1" applyBorder="1" applyAlignment="1">
      <alignment horizontal="center" wrapText="1"/>
    </xf>
    <xf numFmtId="4" fontId="30" fillId="2" borderId="2" xfId="0" applyNumberFormat="1" applyFont="1" applyFill="1" applyBorder="1" applyAlignment="1">
      <alignment horizontal="center"/>
    </xf>
    <xf numFmtId="2" fontId="9" fillId="2" borderId="2" xfId="1" applyNumberFormat="1" applyFont="1" applyFill="1" applyBorder="1" applyAlignment="1">
      <alignment horizontal="center" wrapText="1"/>
    </xf>
    <xf numFmtId="167" fontId="9" fillId="2" borderId="2" xfId="1" applyNumberFormat="1" applyFont="1" applyFill="1" applyBorder="1" applyAlignment="1">
      <alignment horizontal="center" wrapText="1"/>
    </xf>
    <xf numFmtId="167" fontId="9" fillId="2" borderId="2" xfId="1" applyNumberFormat="1" applyFont="1" applyFill="1" applyBorder="1" applyAlignment="1">
      <alignment horizontal="center"/>
    </xf>
    <xf numFmtId="166" fontId="9" fillId="2" borderId="0" xfId="2" applyNumberFormat="1" applyFont="1" applyFill="1" applyAlignment="1"/>
    <xf numFmtId="164" fontId="4" fillId="2" borderId="0" xfId="0" applyNumberFormat="1" applyFont="1" applyFill="1" applyAlignment="1">
      <alignment horizontal="center" vertical="top"/>
    </xf>
    <xf numFmtId="0" fontId="2" fillId="2" borderId="0" xfId="0" applyFont="1" applyFill="1" applyAlignment="1">
      <alignment vertical="top" wrapText="1"/>
    </xf>
    <xf numFmtId="0" fontId="4" fillId="2" borderId="0" xfId="0" applyFont="1" applyFill="1" applyAlignment="1">
      <alignment wrapText="1"/>
    </xf>
    <xf numFmtId="164" fontId="3" fillId="2" borderId="2" xfId="0" applyNumberFormat="1" applyFont="1" applyFill="1" applyBorder="1" applyAlignment="1">
      <alignment horizontal="center" wrapText="1"/>
    </xf>
    <xf numFmtId="164" fontId="12" fillId="2" borderId="2" xfId="0" applyNumberFormat="1" applyFont="1" applyFill="1" applyBorder="1" applyAlignment="1">
      <alignment horizontal="center"/>
    </xf>
    <xf numFmtId="0" fontId="14" fillId="2" borderId="2" xfId="0" applyFont="1" applyFill="1" applyBorder="1" applyAlignment="1">
      <alignment vertical="top" wrapText="1"/>
    </xf>
    <xf numFmtId="164" fontId="15" fillId="2" borderId="2" xfId="0" applyNumberFormat="1" applyFont="1" applyFill="1" applyBorder="1" applyAlignment="1">
      <alignment horizontal="center" wrapText="1"/>
    </xf>
    <xf numFmtId="164" fontId="16" fillId="2" borderId="2" xfId="0" applyNumberFormat="1" applyFont="1" applyFill="1" applyBorder="1" applyAlignment="1">
      <alignment horizontal="center" wrapText="1"/>
    </xf>
    <xf numFmtId="0" fontId="2" fillId="2" borderId="8" xfId="0" applyFont="1" applyFill="1" applyBorder="1" applyAlignment="1">
      <alignment vertical="top" wrapText="1"/>
    </xf>
    <xf numFmtId="164" fontId="3" fillId="2" borderId="2" xfId="0" applyNumberFormat="1" applyFont="1" applyFill="1" applyBorder="1" applyAlignment="1">
      <alignment horizontal="center"/>
    </xf>
    <xf numFmtId="0" fontId="12" fillId="2" borderId="2" xfId="0" applyFont="1" applyFill="1" applyBorder="1" applyAlignment="1">
      <alignment horizontal="left" vertical="top" wrapText="1"/>
    </xf>
    <xf numFmtId="170" fontId="3" fillId="2" borderId="2" xfId="0" applyNumberFormat="1" applyFont="1" applyFill="1" applyBorder="1" applyAlignment="1">
      <alignment horizontal="center"/>
    </xf>
    <xf numFmtId="170" fontId="4" fillId="2" borderId="2" xfId="1" applyNumberFormat="1" applyFont="1" applyFill="1" applyBorder="1" applyAlignment="1">
      <alignment horizontal="center" wrapText="1"/>
    </xf>
    <xf numFmtId="170" fontId="19" fillId="2" borderId="0" xfId="0" applyNumberFormat="1" applyFont="1" applyFill="1" applyAlignment="1"/>
    <xf numFmtId="0" fontId="2" fillId="2" borderId="0" xfId="0" applyFont="1" applyFill="1" applyAlignment="1"/>
    <xf numFmtId="2" fontId="4" fillId="2" borderId="0" xfId="1" applyNumberFormat="1" applyFont="1" applyFill="1" applyBorder="1" applyAlignment="1">
      <alignment horizontal="center"/>
    </xf>
    <xf numFmtId="164" fontId="4" fillId="2" borderId="0" xfId="1" applyNumberFormat="1" applyFont="1" applyFill="1" applyBorder="1" applyAlignment="1">
      <alignment horizontal="center"/>
    </xf>
    <xf numFmtId="166" fontId="2" fillId="2" borderId="8" xfId="2" applyNumberFormat="1" applyFont="1" applyFill="1" applyBorder="1" applyAlignment="1">
      <alignment vertical="top" wrapText="1"/>
    </xf>
    <xf numFmtId="167" fontId="2" fillId="2" borderId="8" xfId="0" applyNumberFormat="1" applyFont="1" applyFill="1" applyBorder="1" applyAlignment="1">
      <alignment vertical="top" wrapText="1"/>
    </xf>
    <xf numFmtId="0" fontId="13" fillId="2" borderId="0" xfId="0" applyFont="1" applyFill="1"/>
    <xf numFmtId="166" fontId="7" fillId="2" borderId="2" xfId="2" applyNumberFormat="1" applyFont="1" applyFill="1" applyBorder="1" applyAlignment="1">
      <alignment horizontal="center"/>
    </xf>
    <xf numFmtId="172" fontId="4" fillId="2" borderId="0" xfId="0" applyNumberFormat="1" applyFont="1" applyFill="1"/>
    <xf numFmtId="166" fontId="13" fillId="2" borderId="0" xfId="2" applyNumberFormat="1" applyFont="1" applyFill="1" applyAlignment="1"/>
    <xf numFmtId="174" fontId="6" fillId="2" borderId="2" xfId="0" applyNumberFormat="1" applyFont="1" applyFill="1" applyBorder="1" applyAlignment="1">
      <alignment horizontal="center" wrapText="1"/>
    </xf>
    <xf numFmtId="3" fontId="6" fillId="2" borderId="2" xfId="0" applyNumberFormat="1" applyFont="1" applyFill="1" applyBorder="1" applyAlignment="1">
      <alignment horizontal="center" wrapText="1"/>
    </xf>
    <xf numFmtId="3" fontId="4" fillId="2" borderId="2" xfId="1" applyNumberFormat="1" applyFont="1" applyFill="1" applyBorder="1" applyAlignment="1">
      <alignment horizontal="center" wrapText="1"/>
    </xf>
    <xf numFmtId="0" fontId="26" fillId="2" borderId="2" xfId="0" applyFont="1" applyFill="1" applyBorder="1" applyAlignment="1">
      <alignment horizontal="center"/>
    </xf>
    <xf numFmtId="0" fontId="32" fillId="2" borderId="2" xfId="0" applyFont="1" applyFill="1" applyBorder="1" applyAlignment="1">
      <alignment horizontal="left" vertical="top" wrapText="1"/>
    </xf>
    <xf numFmtId="0" fontId="29" fillId="2" borderId="8" xfId="0" applyFont="1" applyFill="1" applyBorder="1" applyAlignment="1">
      <alignment vertical="top" wrapText="1"/>
    </xf>
    <xf numFmtId="167" fontId="32" fillId="2" borderId="2" xfId="0" applyNumberFormat="1" applyFont="1" applyFill="1" applyBorder="1" applyAlignment="1">
      <alignment horizontal="center"/>
    </xf>
    <xf numFmtId="2" fontId="7" fillId="2" borderId="7" xfId="0" applyNumberFormat="1" applyFont="1" applyFill="1" applyBorder="1" applyAlignment="1">
      <alignment horizontal="center"/>
    </xf>
    <xf numFmtId="164" fontId="7" fillId="2" borderId="7" xfId="0" applyNumberFormat="1" applyFont="1" applyFill="1" applyBorder="1" applyAlignment="1">
      <alignment horizontal="center"/>
    </xf>
    <xf numFmtId="2" fontId="32" fillId="2" borderId="2" xfId="0" applyNumberFormat="1" applyFont="1" applyFill="1" applyBorder="1" applyAlignment="1">
      <alignment horizontal="center"/>
    </xf>
    <xf numFmtId="0" fontId="21" fillId="2" borderId="8" xfId="0" applyFont="1" applyFill="1" applyBorder="1" applyAlignment="1">
      <alignment horizontal="left" vertical="top" wrapText="1"/>
    </xf>
    <xf numFmtId="164" fontId="32" fillId="2" borderId="2" xfId="0" applyNumberFormat="1" applyFont="1" applyFill="1" applyBorder="1" applyAlignment="1">
      <alignment horizontal="center"/>
    </xf>
    <xf numFmtId="166" fontId="2" fillId="2" borderId="0" xfId="2" applyNumberFormat="1" applyFont="1" applyFill="1" applyAlignment="1">
      <alignment vertical="top" wrapText="1"/>
    </xf>
    <xf numFmtId="0" fontId="4" fillId="2" borderId="0" xfId="0" applyFont="1" applyFill="1" applyBorder="1" applyAlignment="1">
      <alignment wrapText="1"/>
    </xf>
    <xf numFmtId="164" fontId="4" fillId="2" borderId="0" xfId="0" applyNumberFormat="1" applyFont="1" applyFill="1" applyBorder="1" applyAlignment="1">
      <alignment horizontal="center"/>
    </xf>
    <xf numFmtId="0" fontId="10" fillId="2" borderId="0" xfId="0" applyFont="1" applyFill="1" applyAlignment="1">
      <alignment wrapText="1"/>
    </xf>
    <xf numFmtId="164" fontId="2" fillId="2" borderId="0" xfId="0" applyNumberFormat="1" applyFont="1" applyFill="1"/>
    <xf numFmtId="164" fontId="4" fillId="5" borderId="0" xfId="0" applyNumberFormat="1" applyFont="1" applyFill="1" applyAlignment="1">
      <alignment horizontal="center"/>
    </xf>
    <xf numFmtId="0" fontId="7" fillId="2" borderId="2" xfId="0" applyFont="1" applyFill="1" applyBorder="1" applyAlignment="1">
      <alignment horizontal="center" vertical="top" wrapText="1"/>
    </xf>
    <xf numFmtId="168" fontId="11" fillId="2" borderId="2" xfId="1" applyNumberFormat="1" applyFont="1" applyFill="1" applyBorder="1" applyAlignment="1">
      <alignment horizontal="center"/>
    </xf>
    <xf numFmtId="171" fontId="11" fillId="2" borderId="2" xfId="1" applyNumberFormat="1" applyFont="1" applyFill="1" applyBorder="1" applyAlignment="1">
      <alignment horizontal="center"/>
    </xf>
    <xf numFmtId="167" fontId="33" fillId="2" borderId="2" xfId="1" applyNumberFormat="1" applyFont="1" applyFill="1" applyBorder="1" applyAlignment="1">
      <alignment horizontal="left"/>
    </xf>
    <xf numFmtId="0" fontId="4" fillId="2" borderId="0" xfId="0" applyFont="1" applyFill="1" applyBorder="1" applyAlignment="1">
      <alignment horizontal="left" wrapText="1"/>
    </xf>
    <xf numFmtId="0" fontId="6" fillId="2" borderId="0" xfId="0" applyFont="1" applyFill="1" applyAlignment="1">
      <alignment horizontal="left" wrapText="1"/>
    </xf>
    <xf numFmtId="164" fontId="4" fillId="2" borderId="0" xfId="0" applyNumberFormat="1" applyFont="1" applyFill="1" applyBorder="1" applyAlignment="1">
      <alignment horizontal="center" wrapText="1"/>
    </xf>
    <xf numFmtId="0" fontId="3" fillId="2" borderId="2" xfId="0" applyFont="1" applyFill="1" applyBorder="1" applyAlignment="1">
      <alignment horizontal="center" vertical="top" wrapText="1"/>
    </xf>
    <xf numFmtId="0" fontId="3" fillId="2" borderId="4" xfId="0" applyFont="1" applyFill="1" applyBorder="1" applyAlignment="1">
      <alignment horizontal="center" vertical="top" wrapText="1"/>
    </xf>
    <xf numFmtId="0" fontId="0" fillId="2" borderId="2" xfId="0" applyFill="1" applyBorder="1" applyAlignment="1">
      <alignment horizontal="center" wrapText="1"/>
    </xf>
    <xf numFmtId="0" fontId="4" fillId="2" borderId="6" xfId="0" applyFont="1" applyFill="1" applyBorder="1" applyAlignment="1">
      <alignment horizontal="center" vertical="top"/>
    </xf>
    <xf numFmtId="0" fontId="3" fillId="2" borderId="0" xfId="0" applyFont="1" applyFill="1" applyAlignment="1">
      <alignment horizontal="center" wrapText="1"/>
    </xf>
    <xf numFmtId="0" fontId="0" fillId="2" borderId="0" xfId="0" applyFill="1" applyAlignment="1">
      <alignment horizontal="center" wrapText="1"/>
    </xf>
    <xf numFmtId="1" fontId="32" fillId="2" borderId="2" xfId="0" applyNumberFormat="1" applyFont="1" applyFill="1" applyBorder="1" applyAlignment="1">
      <alignment horizontal="center"/>
    </xf>
    <xf numFmtId="0" fontId="4" fillId="2" borderId="0" xfId="0" applyFont="1" applyFill="1" applyBorder="1" applyAlignment="1">
      <alignment horizontal="left" wrapText="1"/>
    </xf>
    <xf numFmtId="0" fontId="6" fillId="2" borderId="0" xfId="0" applyFont="1" applyFill="1" applyAlignment="1">
      <alignment horizontal="left" wrapText="1"/>
    </xf>
    <xf numFmtId="167" fontId="2" fillId="2" borderId="9" xfId="0" applyNumberFormat="1" applyFont="1" applyFill="1" applyBorder="1" applyAlignment="1">
      <alignment vertical="top" wrapText="1"/>
    </xf>
    <xf numFmtId="0" fontId="0" fillId="2" borderId="10" xfId="0" applyFill="1" applyBorder="1" applyAlignment="1">
      <alignment vertical="top" wrapText="1"/>
    </xf>
    <xf numFmtId="0" fontId="0" fillId="2" borderId="11" xfId="0" applyFill="1" applyBorder="1" applyAlignment="1">
      <alignment vertical="top" wrapText="1"/>
    </xf>
    <xf numFmtId="0" fontId="4" fillId="2" borderId="4" xfId="0" applyFont="1" applyFill="1" applyBorder="1" applyAlignment="1">
      <alignment horizontal="center" vertical="top"/>
    </xf>
    <xf numFmtId="0" fontId="0" fillId="2" borderId="5" xfId="0" applyFill="1" applyBorder="1" applyAlignment="1">
      <alignment horizontal="center" vertical="top"/>
    </xf>
    <xf numFmtId="0" fontId="0" fillId="2" borderId="6" xfId="0" applyFill="1" applyBorder="1" applyAlignment="1">
      <alignment horizontal="center" vertical="top"/>
    </xf>
    <xf numFmtId="0" fontId="4" fillId="2" borderId="5" xfId="0" applyFont="1" applyFill="1" applyBorder="1" applyAlignment="1">
      <alignment horizontal="center" vertical="top"/>
    </xf>
    <xf numFmtId="0" fontId="4" fillId="2" borderId="6" xfId="0" applyFont="1" applyFill="1" applyBorder="1" applyAlignment="1">
      <alignment horizontal="center" vertical="top"/>
    </xf>
    <xf numFmtId="0" fontId="2" fillId="2" borderId="9" xfId="0" applyFont="1" applyFill="1" applyBorder="1" applyAlignment="1">
      <alignment vertical="top" wrapText="1"/>
    </xf>
    <xf numFmtId="0" fontId="1" fillId="2" borderId="10" xfId="0" applyFont="1" applyFill="1" applyBorder="1" applyAlignment="1">
      <alignment vertical="top" wrapText="1"/>
    </xf>
    <xf numFmtId="0" fontId="1" fillId="2" borderId="11" xfId="0" applyFont="1" applyFill="1" applyBorder="1" applyAlignment="1">
      <alignment vertical="top" wrapText="1"/>
    </xf>
    <xf numFmtId="0" fontId="3" fillId="2" borderId="0" xfId="0" applyFont="1" applyFill="1" applyAlignment="1">
      <alignment horizontal="center" wrapText="1"/>
    </xf>
    <xf numFmtId="0" fontId="0" fillId="2" borderId="0" xfId="0" applyFill="1" applyAlignment="1">
      <alignment horizontal="center" wrapText="1"/>
    </xf>
    <xf numFmtId="164" fontId="4" fillId="2" borderId="1" xfId="0" applyNumberFormat="1" applyFont="1" applyFill="1" applyBorder="1" applyAlignment="1">
      <alignment horizontal="center" wrapText="1"/>
    </xf>
    <xf numFmtId="164" fontId="4" fillId="2" borderId="0" xfId="0" applyNumberFormat="1" applyFont="1" applyFill="1" applyBorder="1" applyAlignment="1">
      <alignment horizontal="center" wrapText="1"/>
    </xf>
    <xf numFmtId="0" fontId="3" fillId="2" borderId="2" xfId="0" applyFont="1" applyFill="1" applyBorder="1" applyAlignment="1">
      <alignment horizontal="center" vertical="top" wrapText="1"/>
    </xf>
    <xf numFmtId="0" fontId="3" fillId="2" borderId="4" xfId="0" applyFont="1" applyFill="1" applyBorder="1" applyAlignment="1">
      <alignment horizontal="center" vertical="top" wrapText="1"/>
    </xf>
    <xf numFmtId="0" fontId="8" fillId="2" borderId="2" xfId="0" applyFont="1" applyFill="1" applyBorder="1" applyAlignment="1">
      <alignment horizontal="center" wrapText="1"/>
    </xf>
    <xf numFmtId="0" fontId="0" fillId="2" borderId="2" xfId="0" applyFill="1" applyBorder="1" applyAlignment="1">
      <alignment horizontal="center" wrapText="1"/>
    </xf>
  </cellXfs>
  <cellStyles count="3">
    <cellStyle name="Обычный" xfId="0" builtinId="0"/>
    <cellStyle name="Процентный" xfId="2" builtinId="5"/>
    <cellStyle name="Финансовый" xfId="1" builtin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tabColor rgb="FFFF0000"/>
  </sheetPr>
  <dimension ref="A1:CA72"/>
  <sheetViews>
    <sheetView tabSelected="1" view="pageBreakPreview" zoomScaleNormal="100" zoomScaleSheetLayoutView="100" workbookViewId="0">
      <pane xSplit="4" ySplit="9" topLeftCell="AC57" activePane="bottomRight" state="frozen"/>
      <selection pane="topRight" activeCell="D1" sqref="D1"/>
      <selection pane="bottomLeft" activeCell="A8" sqref="A8"/>
      <selection pane="bottomRight" activeCell="AC58" sqref="AC58:AM61"/>
    </sheetView>
  </sheetViews>
  <sheetFormatPr defaultRowHeight="15" outlineLevelRow="1" outlineLevelCol="1"/>
  <cols>
    <col min="1" max="1" width="5.85546875" style="5" customWidth="1"/>
    <col min="2" max="2" width="38.140625" style="120" customWidth="1"/>
    <col min="3" max="3" width="11.7109375" style="120" customWidth="1"/>
    <col min="4" max="4" width="9" style="5" customWidth="1"/>
    <col min="5" max="5" width="11.42578125" style="18" hidden="1" customWidth="1" outlineLevel="1"/>
    <col min="6" max="6" width="11.7109375" style="18" hidden="1" customWidth="1" outlineLevel="1"/>
    <col min="7" max="8" width="10.5703125" style="18" hidden="1" customWidth="1" outlineLevel="1"/>
    <col min="9" max="9" width="11.7109375" style="18" hidden="1" customWidth="1" outlineLevel="1"/>
    <col min="10" max="10" width="11.7109375" style="18" hidden="1" customWidth="1" outlineLevel="1" collapsed="1"/>
    <col min="11" max="11" width="10.42578125" style="18" hidden="1" customWidth="1" outlineLevel="1"/>
    <col min="12" max="12" width="10.42578125" style="18" hidden="1" customWidth="1" outlineLevel="1" collapsed="1"/>
    <col min="13" max="13" width="12.140625" style="18" hidden="1" customWidth="1" outlineLevel="1"/>
    <col min="14" max="15" width="12.42578125" style="18" hidden="1" customWidth="1" outlineLevel="1"/>
    <col min="16" max="16" width="11.85546875" style="18" hidden="1" customWidth="1" outlineLevel="1"/>
    <col min="17" max="17" width="13" style="18" hidden="1" customWidth="1" outlineLevel="1"/>
    <col min="18" max="18" width="12.42578125" style="18" hidden="1" customWidth="1" outlineLevel="1"/>
    <col min="19" max="19" width="13.42578125" style="18" hidden="1" customWidth="1" outlineLevel="1"/>
    <col min="20" max="24" width="12.42578125" style="18" hidden="1" customWidth="1" outlineLevel="1"/>
    <col min="25" max="25" width="10.28515625" style="18" hidden="1" customWidth="1" outlineLevel="1"/>
    <col min="26" max="26" width="15" style="18" hidden="1" customWidth="1" outlineLevel="1"/>
    <col min="27" max="27" width="9.42578125" style="18" hidden="1" customWidth="1" outlineLevel="1"/>
    <col min="28" max="28" width="12.28515625" style="18" hidden="1" customWidth="1" outlineLevel="1"/>
    <col min="29" max="29" width="10.7109375" style="18" customWidth="1" collapsed="1"/>
    <col min="30" max="30" width="12.28515625" style="18" hidden="1" customWidth="1" outlineLevel="1"/>
    <col min="31" max="32" width="10.85546875" style="18" hidden="1" customWidth="1" outlineLevel="1"/>
    <col min="33" max="33" width="10.85546875" style="18" hidden="1" customWidth="1" outlineLevel="1" collapsed="1"/>
    <col min="34" max="34" width="10.85546875" style="18" customWidth="1" collapsed="1"/>
    <col min="35" max="35" width="11.85546875" style="158" hidden="1" customWidth="1" outlineLevel="1"/>
    <col min="36" max="36" width="10.7109375" style="158" customWidth="1" collapsed="1"/>
    <col min="37" max="37" width="11.28515625" style="158" customWidth="1" outlineLevel="1"/>
    <col min="38" max="39" width="9.85546875" style="158" customWidth="1" outlineLevel="1"/>
    <col min="40" max="40" width="88" style="119" customWidth="1"/>
    <col min="41" max="42" width="9.140625" style="34" customWidth="1"/>
    <col min="43" max="43" width="9.140625" style="34"/>
    <col min="44" max="16384" width="9.140625" style="86"/>
  </cols>
  <sheetData>
    <row r="1" spans="1:79" ht="35.25" customHeight="1" outlineLevel="1">
      <c r="A1" s="186" t="s">
        <v>247</v>
      </c>
      <c r="B1" s="186"/>
      <c r="C1" s="186"/>
      <c r="D1" s="186"/>
      <c r="E1" s="186"/>
      <c r="F1" s="186"/>
      <c r="G1" s="186"/>
      <c r="H1" s="186"/>
      <c r="I1" s="186"/>
      <c r="J1" s="186"/>
      <c r="K1" s="186"/>
      <c r="L1" s="186"/>
      <c r="M1" s="186"/>
      <c r="N1" s="186"/>
      <c r="O1" s="186"/>
      <c r="P1" s="186"/>
      <c r="Q1" s="186"/>
      <c r="R1" s="186"/>
      <c r="S1" s="186"/>
      <c r="T1" s="186"/>
      <c r="U1" s="186"/>
      <c r="V1" s="186"/>
      <c r="W1" s="186"/>
      <c r="X1" s="186"/>
      <c r="Y1" s="186"/>
      <c r="Z1" s="186"/>
      <c r="AA1" s="186"/>
      <c r="AB1" s="186"/>
      <c r="AC1" s="186"/>
      <c r="AD1" s="186"/>
      <c r="AE1" s="186"/>
      <c r="AF1" s="186"/>
      <c r="AG1" s="186"/>
      <c r="AH1" s="186"/>
      <c r="AI1" s="186"/>
      <c r="AJ1" s="186"/>
      <c r="AK1" s="186"/>
      <c r="AL1" s="187"/>
      <c r="AM1" s="171"/>
      <c r="AN1" s="118" t="s">
        <v>206</v>
      </c>
    </row>
    <row r="2" spans="1:79" ht="18" customHeight="1">
      <c r="A2" s="170"/>
      <c r="B2" s="170"/>
      <c r="C2" s="170"/>
      <c r="D2" s="36"/>
      <c r="E2" s="36"/>
      <c r="F2" s="36"/>
      <c r="G2" s="36"/>
      <c r="H2" s="36"/>
      <c r="I2" s="36"/>
      <c r="J2" s="36"/>
      <c r="K2" s="36"/>
      <c r="L2" s="36"/>
      <c r="M2" s="36"/>
      <c r="N2" s="36"/>
      <c r="O2" s="36"/>
      <c r="P2" s="36"/>
      <c r="Q2" s="36"/>
      <c r="R2" s="36"/>
      <c r="S2" s="36"/>
      <c r="T2" s="36"/>
      <c r="U2" s="36"/>
      <c r="V2" s="36"/>
      <c r="W2" s="36"/>
      <c r="X2" s="36"/>
      <c r="Y2" s="36"/>
      <c r="Z2" s="36"/>
      <c r="AA2" s="36"/>
      <c r="AB2" s="36"/>
      <c r="AC2" s="36"/>
      <c r="AD2" s="36"/>
      <c r="AE2" s="36"/>
      <c r="AF2" s="36"/>
      <c r="AG2" s="36"/>
      <c r="AH2" s="36"/>
      <c r="AI2" s="36"/>
      <c r="AJ2" s="18"/>
      <c r="AK2" s="18"/>
      <c r="AL2" s="18"/>
      <c r="AM2" s="18"/>
    </row>
    <row r="3" spans="1:79" ht="29.25" hidden="1" customHeight="1" outlineLevel="1">
      <c r="A3" s="186" t="s">
        <v>205</v>
      </c>
      <c r="B3" s="186"/>
      <c r="C3" s="186"/>
      <c r="D3" s="186"/>
      <c r="E3" s="186"/>
      <c r="F3" s="186"/>
      <c r="G3" s="186"/>
      <c r="H3" s="186"/>
      <c r="I3" s="186"/>
      <c r="J3" s="186"/>
      <c r="K3" s="186"/>
      <c r="L3" s="186"/>
      <c r="M3" s="186"/>
      <c r="N3" s="186"/>
      <c r="O3" s="186"/>
      <c r="P3" s="186"/>
      <c r="Q3" s="186"/>
      <c r="R3" s="186"/>
      <c r="S3" s="186"/>
      <c r="T3" s="186"/>
      <c r="U3" s="186"/>
      <c r="V3" s="186"/>
      <c r="W3" s="186"/>
      <c r="X3" s="186"/>
      <c r="Y3" s="186"/>
      <c r="Z3" s="186"/>
      <c r="AA3" s="186"/>
      <c r="AB3" s="186"/>
      <c r="AC3" s="186"/>
      <c r="AD3" s="186"/>
      <c r="AE3" s="186"/>
      <c r="AF3" s="186"/>
      <c r="AG3" s="186"/>
      <c r="AH3" s="186"/>
      <c r="AI3" s="186"/>
      <c r="AJ3" s="186"/>
      <c r="AK3" s="186"/>
      <c r="AL3" s="187"/>
      <c r="AM3" s="33"/>
      <c r="AN3" s="118" t="s">
        <v>206</v>
      </c>
    </row>
    <row r="4" spans="1:79" ht="9.75" customHeight="1" collapsed="1">
      <c r="Q4" s="188"/>
      <c r="R4" s="189"/>
      <c r="S4" s="189"/>
      <c r="T4" s="189"/>
      <c r="U4" s="189"/>
      <c r="V4" s="189"/>
      <c r="W4" s="189"/>
      <c r="X4" s="189"/>
      <c r="Y4" s="189"/>
      <c r="Z4" s="165"/>
      <c r="AA4" s="165"/>
      <c r="AB4" s="165"/>
      <c r="AC4" s="165"/>
      <c r="AD4" s="165"/>
      <c r="AE4" s="165"/>
      <c r="AF4" s="165"/>
      <c r="AG4" s="165"/>
      <c r="AH4" s="165"/>
      <c r="AI4" s="165"/>
      <c r="AJ4" s="165"/>
      <c r="AK4" s="165"/>
      <c r="AL4" s="165"/>
      <c r="AM4" s="165"/>
    </row>
    <row r="5" spans="1:79" ht="15.75" customHeight="1">
      <c r="A5" s="190" t="s">
        <v>0</v>
      </c>
      <c r="B5" s="190" t="s">
        <v>1</v>
      </c>
      <c r="C5" s="190" t="s">
        <v>198</v>
      </c>
      <c r="D5" s="190" t="s">
        <v>2</v>
      </c>
      <c r="E5" s="19" t="s">
        <v>3</v>
      </c>
      <c r="F5" s="19" t="s">
        <v>3</v>
      </c>
      <c r="G5" s="19" t="s">
        <v>3</v>
      </c>
      <c r="H5" s="19" t="s">
        <v>3</v>
      </c>
      <c r="I5" s="19" t="s">
        <v>3</v>
      </c>
      <c r="J5" s="19" t="s">
        <v>3</v>
      </c>
      <c r="K5" s="21" t="s">
        <v>4</v>
      </c>
      <c r="L5" s="20" t="s">
        <v>95</v>
      </c>
      <c r="M5" s="20" t="s">
        <v>95</v>
      </c>
      <c r="N5" s="20" t="s">
        <v>95</v>
      </c>
      <c r="O5" s="20" t="s">
        <v>95</v>
      </c>
      <c r="P5" s="20" t="s">
        <v>96</v>
      </c>
      <c r="Q5" s="21" t="s">
        <v>90</v>
      </c>
      <c r="R5" s="20" t="s">
        <v>97</v>
      </c>
      <c r="S5" s="20" t="s">
        <v>3</v>
      </c>
      <c r="T5" s="20" t="s">
        <v>94</v>
      </c>
      <c r="U5" s="20" t="s">
        <v>95</v>
      </c>
      <c r="V5" s="20" t="s">
        <v>94</v>
      </c>
      <c r="W5" s="20" t="s">
        <v>3</v>
      </c>
      <c r="X5" s="20" t="s">
        <v>3</v>
      </c>
      <c r="Y5" s="20" t="s">
        <v>94</v>
      </c>
      <c r="Z5" s="20" t="s">
        <v>3</v>
      </c>
      <c r="AA5" s="20" t="s">
        <v>94</v>
      </c>
      <c r="AB5" s="20" t="s">
        <v>3</v>
      </c>
      <c r="AC5" s="121" t="s">
        <v>3</v>
      </c>
      <c r="AD5" s="121" t="s">
        <v>3</v>
      </c>
      <c r="AE5" s="121" t="s">
        <v>3</v>
      </c>
      <c r="AF5" s="121" t="s">
        <v>94</v>
      </c>
      <c r="AG5" s="121" t="s">
        <v>3</v>
      </c>
      <c r="AH5" s="121" t="s">
        <v>3</v>
      </c>
      <c r="AI5" s="121" t="s">
        <v>3</v>
      </c>
      <c r="AJ5" s="122" t="s">
        <v>4</v>
      </c>
      <c r="AK5" s="192" t="s">
        <v>66</v>
      </c>
      <c r="AL5" s="193"/>
      <c r="AM5" s="193"/>
      <c r="AN5" s="123" t="s">
        <v>70</v>
      </c>
    </row>
    <row r="6" spans="1:79" ht="29.25" hidden="1" outlineLevel="1">
      <c r="A6" s="191"/>
      <c r="B6" s="190"/>
      <c r="C6" s="190"/>
      <c r="D6" s="190"/>
      <c r="E6" s="19"/>
      <c r="F6" s="19"/>
      <c r="G6" s="19"/>
      <c r="H6" s="37" t="s">
        <v>98</v>
      </c>
      <c r="I6" s="19"/>
      <c r="J6" s="19"/>
      <c r="K6" s="21"/>
      <c r="L6" s="38" t="s">
        <v>99</v>
      </c>
      <c r="M6" s="38" t="s">
        <v>100</v>
      </c>
      <c r="N6" s="38" t="s">
        <v>101</v>
      </c>
      <c r="O6" s="37" t="s">
        <v>98</v>
      </c>
      <c r="P6" s="38"/>
      <c r="Q6" s="39"/>
      <c r="R6" s="38"/>
      <c r="S6" s="38" t="s">
        <v>102</v>
      </c>
      <c r="T6" s="38" t="s">
        <v>100</v>
      </c>
      <c r="U6" s="38" t="s">
        <v>101</v>
      </c>
      <c r="V6" s="38" t="s">
        <v>101</v>
      </c>
      <c r="W6" s="37" t="s">
        <v>98</v>
      </c>
      <c r="X6" s="38"/>
      <c r="Y6" s="20"/>
      <c r="Z6" s="20" t="s">
        <v>162</v>
      </c>
      <c r="AA6" s="20"/>
      <c r="AB6" s="20" t="s">
        <v>162</v>
      </c>
      <c r="AC6" s="124" t="s">
        <v>98</v>
      </c>
      <c r="AD6" s="125"/>
      <c r="AE6" s="125"/>
      <c r="AF6" s="121"/>
      <c r="AG6" s="121"/>
      <c r="AH6" s="37" t="s">
        <v>98</v>
      </c>
      <c r="AI6" s="125"/>
      <c r="AJ6" s="168"/>
      <c r="AK6" s="168"/>
      <c r="AL6" s="168"/>
      <c r="AM6" s="168"/>
      <c r="AN6" s="126"/>
    </row>
    <row r="7" spans="1:79" ht="31.5" customHeight="1" collapsed="1">
      <c r="A7" s="191"/>
      <c r="B7" s="190"/>
      <c r="C7" s="190"/>
      <c r="D7" s="190"/>
      <c r="E7" s="20" t="s">
        <v>5</v>
      </c>
      <c r="F7" s="20" t="s">
        <v>6</v>
      </c>
      <c r="G7" s="20" t="s">
        <v>7</v>
      </c>
      <c r="H7" s="20" t="s">
        <v>7</v>
      </c>
      <c r="I7" s="20" t="s">
        <v>71</v>
      </c>
      <c r="J7" s="20" t="s">
        <v>79</v>
      </c>
      <c r="K7" s="19" t="s">
        <v>8</v>
      </c>
      <c r="L7" s="20" t="s">
        <v>8</v>
      </c>
      <c r="M7" s="20" t="s">
        <v>8</v>
      </c>
      <c r="N7" s="20" t="s">
        <v>8</v>
      </c>
      <c r="O7" s="20" t="s">
        <v>8</v>
      </c>
      <c r="P7" s="20" t="s">
        <v>89</v>
      </c>
      <c r="Q7" s="19" t="s">
        <v>9</v>
      </c>
      <c r="R7" s="20" t="s">
        <v>9</v>
      </c>
      <c r="S7" s="20" t="s">
        <v>89</v>
      </c>
      <c r="T7" s="20" t="s">
        <v>9</v>
      </c>
      <c r="U7" s="20" t="s">
        <v>103</v>
      </c>
      <c r="V7" s="20" t="s">
        <v>9</v>
      </c>
      <c r="W7" s="20" t="s">
        <v>9</v>
      </c>
      <c r="X7" s="20" t="s">
        <v>114</v>
      </c>
      <c r="Y7" s="38" t="s">
        <v>115</v>
      </c>
      <c r="Z7" s="20" t="s">
        <v>116</v>
      </c>
      <c r="AA7" s="20" t="s">
        <v>10</v>
      </c>
      <c r="AB7" s="20" t="s">
        <v>10</v>
      </c>
      <c r="AC7" s="121" t="s">
        <v>10</v>
      </c>
      <c r="AD7" s="121" t="s">
        <v>168</v>
      </c>
      <c r="AE7" s="121" t="s">
        <v>169</v>
      </c>
      <c r="AF7" s="127" t="s">
        <v>65</v>
      </c>
      <c r="AG7" s="127" t="s">
        <v>65</v>
      </c>
      <c r="AH7" s="127" t="s">
        <v>65</v>
      </c>
      <c r="AI7" s="121" t="s">
        <v>197</v>
      </c>
      <c r="AJ7" s="127" t="s">
        <v>88</v>
      </c>
      <c r="AK7" s="127" t="s">
        <v>104</v>
      </c>
      <c r="AL7" s="127" t="s">
        <v>163</v>
      </c>
      <c r="AM7" s="127" t="s">
        <v>190</v>
      </c>
      <c r="AN7" s="126"/>
      <c r="AO7" s="34">
        <v>2019</v>
      </c>
      <c r="AP7" s="34">
        <v>2020</v>
      </c>
    </row>
    <row r="8" spans="1:79" ht="13.5" hidden="1" customHeight="1" outlineLevel="1">
      <c r="A8" s="167"/>
      <c r="B8" s="128" t="s">
        <v>91</v>
      </c>
      <c r="C8" s="128"/>
      <c r="D8" s="166"/>
      <c r="E8" s="20"/>
      <c r="F8" s="20"/>
      <c r="G8" s="20"/>
      <c r="H8" s="20"/>
      <c r="I8" s="20"/>
      <c r="J8" s="20"/>
      <c r="K8" s="19"/>
      <c r="L8" s="20"/>
      <c r="M8" s="20"/>
      <c r="N8" s="20"/>
      <c r="O8" s="20"/>
      <c r="P8" s="20"/>
      <c r="Q8" s="19"/>
      <c r="R8" s="40">
        <v>1.1559999999999999</v>
      </c>
      <c r="S8" s="20"/>
      <c r="T8" s="40"/>
      <c r="U8" s="40"/>
      <c r="V8" s="40"/>
      <c r="W8" s="40"/>
      <c r="X8" s="40"/>
      <c r="Y8" s="41">
        <v>1.0640000000000001</v>
      </c>
      <c r="Z8" s="41"/>
      <c r="AA8" s="41"/>
      <c r="AB8" s="41"/>
      <c r="AC8" s="129"/>
      <c r="AD8" s="129"/>
      <c r="AE8" s="129"/>
      <c r="AF8" s="129"/>
      <c r="AG8" s="129"/>
      <c r="AH8" s="129"/>
      <c r="AI8" s="129"/>
      <c r="AJ8" s="129">
        <v>1.052</v>
      </c>
      <c r="AK8" s="129"/>
      <c r="AL8" s="129"/>
      <c r="AM8" s="129"/>
      <c r="AN8" s="126"/>
    </row>
    <row r="9" spans="1:79" ht="17.25" customHeight="1" collapsed="1">
      <c r="A9" s="81" t="s">
        <v>11</v>
      </c>
      <c r="B9" s="42" t="s">
        <v>12</v>
      </c>
      <c r="C9" s="42"/>
      <c r="D9" s="43"/>
      <c r="E9" s="43"/>
      <c r="F9" s="43"/>
      <c r="G9" s="43"/>
      <c r="H9" s="43"/>
      <c r="I9" s="43"/>
      <c r="J9" s="43"/>
      <c r="K9" s="43"/>
      <c r="L9" s="43"/>
      <c r="M9" s="43"/>
      <c r="N9" s="44"/>
      <c r="O9" s="44"/>
      <c r="P9" s="44"/>
      <c r="Q9" s="44"/>
      <c r="R9" s="44"/>
      <c r="S9" s="44"/>
      <c r="T9" s="44"/>
      <c r="U9" s="44"/>
      <c r="V9" s="44"/>
      <c r="W9" s="44"/>
      <c r="X9" s="44"/>
      <c r="Y9" s="44"/>
      <c r="Z9" s="44"/>
      <c r="AA9" s="44"/>
      <c r="AB9" s="44"/>
      <c r="AC9" s="44"/>
      <c r="AD9" s="44"/>
      <c r="AE9" s="44"/>
      <c r="AF9" s="44"/>
      <c r="AG9" s="44"/>
      <c r="AH9" s="44"/>
      <c r="AI9" s="44"/>
      <c r="AJ9" s="44"/>
      <c r="AK9" s="44"/>
      <c r="AL9" s="44"/>
      <c r="AM9" s="44"/>
      <c r="AN9" s="126"/>
    </row>
    <row r="10" spans="1:79" ht="30">
      <c r="A10" s="81" t="s">
        <v>13</v>
      </c>
      <c r="B10" s="1" t="s">
        <v>14</v>
      </c>
      <c r="C10" s="159" t="s">
        <v>199</v>
      </c>
      <c r="D10" s="1" t="s">
        <v>67</v>
      </c>
      <c r="E10" s="3">
        <v>22.038</v>
      </c>
      <c r="F10" s="27">
        <v>22.643999999999998</v>
      </c>
      <c r="G10" s="27">
        <v>23.151</v>
      </c>
      <c r="H10" s="27">
        <v>23.151</v>
      </c>
      <c r="I10" s="27" t="s">
        <v>75</v>
      </c>
      <c r="J10" s="27">
        <f>G10+0.079+0.056</f>
        <v>23.286000000000001</v>
      </c>
      <c r="K10" s="27">
        <f>G10+K11+K12</f>
        <v>23.626139999999999</v>
      </c>
      <c r="L10" s="27">
        <f>G10+L11+L12</f>
        <v>23.665000000000003</v>
      </c>
      <c r="M10" s="27">
        <v>23.664999999999999</v>
      </c>
      <c r="N10" s="27">
        <v>23.664999999999999</v>
      </c>
      <c r="O10" s="3">
        <v>23.664999999999999</v>
      </c>
      <c r="P10" s="3">
        <v>23.664999999999999</v>
      </c>
      <c r="Q10" s="3">
        <f>L10+Q11+Q12</f>
        <v>24.103000000000005</v>
      </c>
      <c r="R10" s="3">
        <v>24.103000000000002</v>
      </c>
      <c r="S10" s="3">
        <v>23.664999999999999</v>
      </c>
      <c r="T10" s="3">
        <v>24.103000000000002</v>
      </c>
      <c r="U10" s="47">
        <v>23.939</v>
      </c>
      <c r="V10" s="3">
        <f>N10+V11+V12</f>
        <v>24.158628284765328</v>
      </c>
      <c r="W10" s="3">
        <v>24.236999999999998</v>
      </c>
      <c r="X10" s="3">
        <f>W10</f>
        <v>24.236999999999998</v>
      </c>
      <c r="Y10" s="3">
        <v>24.806000000000001</v>
      </c>
      <c r="Z10" s="3">
        <f>Y10</f>
        <v>24.806000000000001</v>
      </c>
      <c r="AA10" s="3">
        <f>Y10</f>
        <v>24.806000000000001</v>
      </c>
      <c r="AB10" s="3">
        <v>24.594999999999999</v>
      </c>
      <c r="AC10" s="27">
        <v>24.594999999999999</v>
      </c>
      <c r="AD10" s="3">
        <v>24.594999999999999</v>
      </c>
      <c r="AE10" s="130">
        <v>24.594999999999999</v>
      </c>
      <c r="AF10" s="75">
        <v>24.863</v>
      </c>
      <c r="AG10" s="51">
        <v>24.715</v>
      </c>
      <c r="AH10" s="51">
        <v>24.715</v>
      </c>
      <c r="AI10" s="51">
        <v>24.715</v>
      </c>
      <c r="AJ10" s="51">
        <v>24.869</v>
      </c>
      <c r="AK10" s="51">
        <v>25.024000000000001</v>
      </c>
      <c r="AL10" s="27">
        <v>25.102</v>
      </c>
      <c r="AM10" s="27">
        <v>25.111000000000001</v>
      </c>
      <c r="AN10" s="175" t="s">
        <v>232</v>
      </c>
      <c r="AO10" s="27"/>
      <c r="AP10" s="27"/>
      <c r="AQ10" s="131">
        <f>AF10/AC10</f>
        <v>1.0108965236836756</v>
      </c>
      <c r="AS10" s="132"/>
      <c r="AT10" s="132"/>
      <c r="AU10" s="132"/>
      <c r="AV10" s="132"/>
      <c r="AW10" s="132"/>
      <c r="AX10" s="132"/>
      <c r="AY10" s="132"/>
      <c r="AZ10" s="132"/>
      <c r="BA10" s="132"/>
      <c r="BB10" s="132"/>
      <c r="BC10" s="132"/>
      <c r="BD10" s="132"/>
      <c r="BE10" s="132"/>
      <c r="BF10" s="132"/>
      <c r="BG10" s="132"/>
      <c r="BH10" s="132"/>
      <c r="BI10" s="132"/>
      <c r="BJ10" s="132"/>
      <c r="BK10" s="132"/>
      <c r="BL10" s="132"/>
      <c r="BM10" s="132"/>
      <c r="BN10" s="132"/>
      <c r="BO10" s="132"/>
      <c r="BP10" s="132"/>
      <c r="BQ10" s="132"/>
      <c r="BR10" s="132"/>
      <c r="BS10" s="132"/>
      <c r="BT10" s="132"/>
      <c r="BU10" s="132"/>
      <c r="BV10" s="132"/>
      <c r="BW10" s="132"/>
      <c r="BX10" s="132"/>
      <c r="BY10" s="132"/>
      <c r="BZ10" s="132"/>
      <c r="CA10" s="132"/>
    </row>
    <row r="11" spans="1:79" ht="36.75" customHeight="1">
      <c r="A11" s="81" t="s">
        <v>16</v>
      </c>
      <c r="B11" s="1" t="s">
        <v>17</v>
      </c>
      <c r="C11" s="159" t="s">
        <v>199</v>
      </c>
      <c r="D11" s="1" t="s">
        <v>18</v>
      </c>
      <c r="E11" s="22">
        <v>0.11700000000000001</v>
      </c>
      <c r="F11" s="22">
        <v>0.14099999999999999</v>
      </c>
      <c r="G11" s="27">
        <f>164/1000</f>
        <v>0.16400000000000001</v>
      </c>
      <c r="H11" s="27">
        <f>164/1000</f>
        <v>0.16400000000000001</v>
      </c>
      <c r="I11" s="22">
        <f>76/1000</f>
        <v>7.5999999999999998E-2</v>
      </c>
      <c r="J11" s="22" t="s">
        <v>81</v>
      </c>
      <c r="K11" s="22">
        <f>(79*2)/1000</f>
        <v>0.158</v>
      </c>
      <c r="L11" s="22">
        <v>0.19</v>
      </c>
      <c r="M11" s="22">
        <v>0.19</v>
      </c>
      <c r="N11" s="27">
        <v>0.19</v>
      </c>
      <c r="O11" s="3">
        <v>0.19</v>
      </c>
      <c r="P11" s="28" t="s">
        <v>85</v>
      </c>
      <c r="Q11" s="3">
        <f>164/1000</f>
        <v>0.16400000000000001</v>
      </c>
      <c r="R11" s="3">
        <f>164/1000</f>
        <v>0.16400000000000001</v>
      </c>
      <c r="S11" s="28" t="s">
        <v>85</v>
      </c>
      <c r="T11" s="3">
        <f>164/1000</f>
        <v>0.16400000000000001</v>
      </c>
      <c r="U11" s="47" t="s">
        <v>85</v>
      </c>
      <c r="V11" s="3">
        <f>(164+190)/2/1000</f>
        <v>0.17699999999999999</v>
      </c>
      <c r="W11" s="27">
        <v>0.251</v>
      </c>
      <c r="X11" s="28" t="s">
        <v>85</v>
      </c>
      <c r="Y11" s="3">
        <f>(W11+N11+G11)/3</f>
        <v>0.20166666666666666</v>
      </c>
      <c r="Z11" s="28" t="s">
        <v>85</v>
      </c>
      <c r="AA11" s="3">
        <f t="shared" ref="AA11:AA13" si="0">Y11</f>
        <v>0.20166666666666666</v>
      </c>
      <c r="AB11" s="28" t="s">
        <v>165</v>
      </c>
      <c r="AC11" s="130">
        <v>0.29199999999999998</v>
      </c>
      <c r="AD11" s="32" t="s">
        <v>85</v>
      </c>
      <c r="AE11" s="32" t="s">
        <v>187</v>
      </c>
      <c r="AF11" s="3">
        <f>0.245</f>
        <v>0.245</v>
      </c>
      <c r="AG11" s="22" t="s">
        <v>191</v>
      </c>
      <c r="AH11" s="27">
        <v>0.188</v>
      </c>
      <c r="AI11" s="32" t="s">
        <v>85</v>
      </c>
      <c r="AJ11" s="27">
        <v>0.26300000000000001</v>
      </c>
      <c r="AK11" s="27">
        <v>0.19800000000000001</v>
      </c>
      <c r="AL11" s="27">
        <v>0.127</v>
      </c>
      <c r="AM11" s="27">
        <v>7.8E-2</v>
      </c>
      <c r="AN11" s="176"/>
      <c r="AO11" s="22">
        <f>AJ11*1.01</f>
        <v>0.26563000000000003</v>
      </c>
      <c r="AP11" s="133">
        <f>AO11*1.01</f>
        <v>0.26828630000000003</v>
      </c>
      <c r="AQ11" s="85"/>
    </row>
    <row r="12" spans="1:79" ht="57" customHeight="1">
      <c r="A12" s="81" t="s">
        <v>19</v>
      </c>
      <c r="B12" s="1" t="s">
        <v>20</v>
      </c>
      <c r="C12" s="159" t="s">
        <v>199</v>
      </c>
      <c r="D12" s="1" t="s">
        <v>18</v>
      </c>
      <c r="E12" s="3">
        <v>0.55800000000000005</v>
      </c>
      <c r="F12" s="3">
        <v>0.39600000000000002</v>
      </c>
      <c r="G12" s="27">
        <f>314/1000</f>
        <v>0.314</v>
      </c>
      <c r="H12" s="27">
        <f>314/1000</f>
        <v>0.314</v>
      </c>
      <c r="I12" s="3">
        <f>56/1000</f>
        <v>5.6000000000000001E-2</v>
      </c>
      <c r="J12" s="3" t="s">
        <v>82</v>
      </c>
      <c r="K12" s="3">
        <f>314*1.01/1000</f>
        <v>0.31713999999999998</v>
      </c>
      <c r="L12" s="3">
        <f>0.359-0.035</f>
        <v>0.32399999999999995</v>
      </c>
      <c r="M12" s="3">
        <f>0.359-0.035</f>
        <v>0.32399999999999995</v>
      </c>
      <c r="N12" s="27">
        <v>0.35899999999999999</v>
      </c>
      <c r="O12" s="3">
        <v>0.35899999999999999</v>
      </c>
      <c r="P12" s="28" t="s">
        <v>85</v>
      </c>
      <c r="Q12" s="3">
        <f>314/1000-0.04</f>
        <v>0.27400000000000002</v>
      </c>
      <c r="R12" s="3">
        <f>314/1000-0.04</f>
        <v>0.27400000000000002</v>
      </c>
      <c r="S12" s="28" t="s">
        <v>85</v>
      </c>
      <c r="T12" s="3">
        <f>314/1000-0.04</f>
        <v>0.27400000000000002</v>
      </c>
      <c r="U12" s="47" t="s">
        <v>85</v>
      </c>
      <c r="V12" s="3">
        <f>((F12/E12)+(G12/F12)+(N12/G12))/3*N12</f>
        <v>0.31662828476533011</v>
      </c>
      <c r="W12" s="3">
        <v>0.34</v>
      </c>
      <c r="X12" s="28" t="s">
        <v>85</v>
      </c>
      <c r="Y12" s="3">
        <f>(W12+N12+G12)/3</f>
        <v>0.33766666666666673</v>
      </c>
      <c r="Z12" s="28" t="s">
        <v>85</v>
      </c>
      <c r="AA12" s="3">
        <f t="shared" si="0"/>
        <v>0.33766666666666673</v>
      </c>
      <c r="AB12" s="28" t="s">
        <v>165</v>
      </c>
      <c r="AC12" s="130">
        <v>-0.17299999999999999</v>
      </c>
      <c r="AD12" s="32" t="s">
        <v>85</v>
      </c>
      <c r="AE12" s="32" t="s">
        <v>188</v>
      </c>
      <c r="AF12" s="3">
        <v>0.17199999999999999</v>
      </c>
      <c r="AG12" s="27" t="s">
        <v>192</v>
      </c>
      <c r="AH12" s="27">
        <v>-6.7000000000000004E-2</v>
      </c>
      <c r="AI12" s="32" t="s">
        <v>85</v>
      </c>
      <c r="AJ12" s="27">
        <v>-7.5999999999999998E-2</v>
      </c>
      <c r="AK12" s="27">
        <v>-7.3999999999999996E-2</v>
      </c>
      <c r="AL12" s="27">
        <v>-9.5000000000000001E-2</v>
      </c>
      <c r="AM12" s="27">
        <v>-9.1999999999999998E-2</v>
      </c>
      <c r="AN12" s="176"/>
      <c r="AO12" s="3">
        <f>AJ12</f>
        <v>-7.5999999999999998E-2</v>
      </c>
      <c r="AP12" s="134">
        <f>AO12</f>
        <v>-7.5999999999999998E-2</v>
      </c>
      <c r="AQ12" s="85"/>
    </row>
    <row r="13" spans="1:79" ht="35.25" customHeight="1">
      <c r="A13" s="81" t="s">
        <v>21</v>
      </c>
      <c r="B13" s="1" t="s">
        <v>22</v>
      </c>
      <c r="C13" s="159" t="s">
        <v>199</v>
      </c>
      <c r="D13" s="1" t="s">
        <v>18</v>
      </c>
      <c r="E13" s="3">
        <v>14.12</v>
      </c>
      <c r="F13" s="3">
        <v>14.26</v>
      </c>
      <c r="G13" s="3">
        <f>14258/1000</f>
        <v>14.257999999999999</v>
      </c>
      <c r="H13" s="3">
        <f>14258/1000</f>
        <v>14.257999999999999</v>
      </c>
      <c r="I13" s="3" t="s">
        <v>74</v>
      </c>
      <c r="J13" s="3" t="s">
        <v>74</v>
      </c>
      <c r="K13" s="3">
        <f>SUM(G13*1.01)</f>
        <v>14.40058</v>
      </c>
      <c r="L13" s="3">
        <v>14.438000000000001</v>
      </c>
      <c r="M13" s="3">
        <v>14.4</v>
      </c>
      <c r="N13" s="3">
        <v>14.590999999999999</v>
      </c>
      <c r="O13" s="3">
        <v>14.590999999999999</v>
      </c>
      <c r="P13" s="32" t="s">
        <v>85</v>
      </c>
      <c r="Q13" s="3">
        <v>14.6</v>
      </c>
      <c r="R13" s="3">
        <v>14.6</v>
      </c>
      <c r="S13" s="32" t="s">
        <v>85</v>
      </c>
      <c r="T13" s="3">
        <v>14.6</v>
      </c>
      <c r="U13" s="28" t="s">
        <v>85</v>
      </c>
      <c r="V13" s="3">
        <v>14.6</v>
      </c>
      <c r="W13" s="48">
        <v>14.705</v>
      </c>
      <c r="X13" s="32" t="s">
        <v>85</v>
      </c>
      <c r="Y13" s="3">
        <v>14.7</v>
      </c>
      <c r="Z13" s="32" t="s">
        <v>85</v>
      </c>
      <c r="AA13" s="3">
        <f t="shared" si="0"/>
        <v>14.7</v>
      </c>
      <c r="AB13" s="32" t="s">
        <v>164</v>
      </c>
      <c r="AC13" s="130">
        <v>14.532999999999999</v>
      </c>
      <c r="AD13" s="32" t="s">
        <v>85</v>
      </c>
      <c r="AE13" s="32" t="s">
        <v>174</v>
      </c>
      <c r="AF13" s="3">
        <f>14.678</f>
        <v>14.678000000000001</v>
      </c>
      <c r="AG13" s="27" t="s">
        <v>193</v>
      </c>
      <c r="AH13" s="27">
        <v>14.378</v>
      </c>
      <c r="AI13" s="32" t="s">
        <v>85</v>
      </c>
      <c r="AJ13" s="27">
        <v>14.522</v>
      </c>
      <c r="AK13" s="27">
        <v>14.638</v>
      </c>
      <c r="AL13" s="27">
        <v>14.755000000000001</v>
      </c>
      <c r="AM13" s="27">
        <v>14.872999999999999</v>
      </c>
      <c r="AN13" s="177"/>
      <c r="AO13" s="85"/>
      <c r="AP13" s="85"/>
      <c r="AQ13" s="85"/>
    </row>
    <row r="14" spans="1:79">
      <c r="A14" s="81" t="s">
        <v>23</v>
      </c>
      <c r="B14" s="49" t="s">
        <v>24</v>
      </c>
      <c r="C14" s="49"/>
      <c r="D14" s="43"/>
      <c r="E14" s="43"/>
      <c r="F14" s="43"/>
      <c r="G14" s="43"/>
      <c r="H14" s="8"/>
      <c r="I14" s="8"/>
      <c r="J14" s="8"/>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135"/>
      <c r="AO14" s="85"/>
      <c r="AP14" s="85"/>
      <c r="AQ14" s="85"/>
    </row>
    <row r="15" spans="1:79" ht="63.75">
      <c r="A15" s="81" t="s">
        <v>25</v>
      </c>
      <c r="B15" s="1" t="s">
        <v>26</v>
      </c>
      <c r="C15" s="159" t="s">
        <v>199</v>
      </c>
      <c r="D15" s="1" t="s">
        <v>27</v>
      </c>
      <c r="E15" s="8">
        <v>8670.7999999999993</v>
      </c>
      <c r="F15" s="8">
        <v>9248.2000000000007</v>
      </c>
      <c r="G15" s="8">
        <v>10156.270399999999</v>
      </c>
      <c r="H15" s="50">
        <f>H17+(H18-H20)*H23*0.5*12/1000</f>
        <v>10156.270399999999</v>
      </c>
      <c r="I15" s="8" t="s">
        <v>72</v>
      </c>
      <c r="J15" s="8" t="s">
        <v>83</v>
      </c>
      <c r="K15" s="8">
        <f>PRODUCT(G15*1.1)</f>
        <v>11171.897440000001</v>
      </c>
      <c r="L15" s="8">
        <v>10224.038</v>
      </c>
      <c r="M15" s="8">
        <v>10224.038</v>
      </c>
      <c r="N15" s="8">
        <v>10224.038</v>
      </c>
      <c r="O15" s="8">
        <f>O17+(O18-O20)*O22*0.5*12/1000</f>
        <v>11236.808045</v>
      </c>
      <c r="P15" s="32" t="s">
        <v>85</v>
      </c>
      <c r="Q15" s="8">
        <f>Q18*Q23/100</f>
        <v>0</v>
      </c>
      <c r="R15" s="8">
        <f>Q15</f>
        <v>0</v>
      </c>
      <c r="S15" s="32" t="s">
        <v>85</v>
      </c>
      <c r="T15" s="8">
        <f>T18*T23/100</f>
        <v>0</v>
      </c>
      <c r="U15" s="8" t="s">
        <v>105</v>
      </c>
      <c r="V15" s="8">
        <f>5406.7*2</f>
        <v>10813.4</v>
      </c>
      <c r="W15" s="8">
        <f>W17+(W18-W20)*W22*0.5*12/1000</f>
        <v>11769.755925000001</v>
      </c>
      <c r="X15" s="32" t="s">
        <v>85</v>
      </c>
      <c r="Y15" s="8">
        <f>Y17+(Y18-Y20)*Y22*0.5*12/1000</f>
        <v>11607.234949905</v>
      </c>
      <c r="Z15" s="8" t="s">
        <v>158</v>
      </c>
      <c r="AA15" s="8">
        <f t="shared" ref="AA15:AM15" si="1">AA17+(AA18-AA20)*AA22*0.5*12/1000</f>
        <v>12579.820176262248</v>
      </c>
      <c r="AB15" s="8">
        <f>AB17+(AB18-AB20)*AB22*0.5*12/1000</f>
        <v>11939.073591199998</v>
      </c>
      <c r="AC15" s="8">
        <f>AC17+(AC18-AC20)*AC22*0.5*12/1000</f>
        <v>11939.073591199998</v>
      </c>
      <c r="AD15" s="32" t="s">
        <v>85</v>
      </c>
      <c r="AE15" s="32" t="s">
        <v>177</v>
      </c>
      <c r="AF15" s="8">
        <f>AF17+(AF18-AF20)*AF22*0.5*12/1000</f>
        <v>11556.461621119168</v>
      </c>
      <c r="AG15" s="8">
        <f>AG17+(AG18-AG20)*AG22*0.5*12/1000</f>
        <v>11311.589928999998</v>
      </c>
      <c r="AH15" s="8">
        <f>AG15</f>
        <v>11311.589928999998</v>
      </c>
      <c r="AI15" s="160" t="s">
        <v>224</v>
      </c>
      <c r="AJ15" s="8">
        <f t="shared" si="1"/>
        <v>11780.627540598001</v>
      </c>
      <c r="AK15" s="8">
        <f t="shared" si="1"/>
        <v>12247.008784505459</v>
      </c>
      <c r="AL15" s="8">
        <f t="shared" si="1"/>
        <v>12731.693761199087</v>
      </c>
      <c r="AM15" s="8">
        <f t="shared" si="1"/>
        <v>13235.388654214674</v>
      </c>
      <c r="AN15" s="136" t="s">
        <v>212</v>
      </c>
      <c r="AO15" s="85"/>
      <c r="AP15" s="85"/>
      <c r="AQ15" s="85"/>
    </row>
    <row r="16" spans="1:79" hidden="1" outlineLevel="1">
      <c r="A16" s="81"/>
      <c r="B16" s="1" t="s">
        <v>106</v>
      </c>
      <c r="C16" s="159" t="s">
        <v>199</v>
      </c>
      <c r="D16" s="1"/>
      <c r="E16" s="8"/>
      <c r="F16" s="8"/>
      <c r="G16" s="8"/>
      <c r="H16" s="8"/>
      <c r="I16" s="8"/>
      <c r="J16" s="8"/>
      <c r="K16" s="8"/>
      <c r="L16" s="8"/>
      <c r="M16" s="8"/>
      <c r="N16" s="8"/>
      <c r="O16" s="8"/>
      <c r="P16" s="32"/>
      <c r="Q16" s="8"/>
      <c r="R16" s="8"/>
      <c r="S16" s="32"/>
      <c r="T16" s="8"/>
      <c r="U16" s="8"/>
      <c r="V16" s="8"/>
      <c r="W16" s="8"/>
      <c r="X16" s="8"/>
      <c r="Y16" s="8"/>
      <c r="Z16" s="8"/>
      <c r="AA16" s="8"/>
      <c r="AB16" s="8"/>
      <c r="AC16" s="8"/>
      <c r="AD16" s="8"/>
      <c r="AE16" s="8"/>
      <c r="AF16" s="8"/>
      <c r="AG16" s="8"/>
      <c r="AH16" s="8"/>
      <c r="AI16" s="8"/>
      <c r="AJ16" s="46"/>
      <c r="AK16" s="46"/>
      <c r="AL16" s="46"/>
      <c r="AM16" s="46"/>
      <c r="AN16" s="126"/>
      <c r="AO16" s="85"/>
      <c r="AP16" s="85"/>
      <c r="AQ16" s="85"/>
    </row>
    <row r="17" spans="1:43" ht="63.75" hidden="1" outlineLevel="1">
      <c r="A17" s="82"/>
      <c r="B17" s="1" t="s">
        <v>107</v>
      </c>
      <c r="C17" s="159" t="s">
        <v>199</v>
      </c>
      <c r="D17" s="1" t="s">
        <v>27</v>
      </c>
      <c r="E17" s="8"/>
      <c r="F17" s="8"/>
      <c r="G17" s="8"/>
      <c r="H17" s="8">
        <f>10156.2704</f>
        <v>10156.270399999999</v>
      </c>
      <c r="I17" s="8"/>
      <c r="J17" s="8"/>
      <c r="K17" s="8"/>
      <c r="L17" s="8"/>
      <c r="M17" s="8"/>
      <c r="N17" s="8"/>
      <c r="O17" s="8">
        <f>10224.038</f>
        <v>10224.038</v>
      </c>
      <c r="P17" s="32"/>
      <c r="Q17" s="8"/>
      <c r="R17" s="8"/>
      <c r="S17" s="32"/>
      <c r="T17" s="8"/>
      <c r="U17" s="8"/>
      <c r="V17" s="8"/>
      <c r="W17" s="8">
        <f>10691.709</f>
        <v>10691.709000000001</v>
      </c>
      <c r="X17" s="32" t="s">
        <v>85</v>
      </c>
      <c r="Y17" s="8">
        <f>Y22*Y20/1000*12</f>
        <v>10559.37961869</v>
      </c>
      <c r="Z17" s="8" t="s">
        <v>156</v>
      </c>
      <c r="AA17" s="8">
        <f t="shared" ref="AA17:AM17" si="2">AA22*AA20/1000*12</f>
        <v>11510.963522803793</v>
      </c>
      <c r="AB17" s="9">
        <v>10887.608899999999</v>
      </c>
      <c r="AC17" s="8">
        <v>10887.608899999999</v>
      </c>
      <c r="AD17" s="32" t="s">
        <v>85</v>
      </c>
      <c r="AE17" s="32" t="s">
        <v>175</v>
      </c>
      <c r="AF17" s="8">
        <f t="shared" si="2"/>
        <v>10513.179669230767</v>
      </c>
      <c r="AG17" s="8">
        <v>10261.599399999999</v>
      </c>
      <c r="AH17" s="8">
        <f>AG17</f>
        <v>10261.599399999999</v>
      </c>
      <c r="AI17" s="8" t="s">
        <v>225</v>
      </c>
      <c r="AJ17" s="8">
        <f t="shared" si="2"/>
        <v>10694.785222308001</v>
      </c>
      <c r="AK17" s="8">
        <f t="shared" si="2"/>
        <v>11119.62592542156</v>
      </c>
      <c r="AL17" s="8">
        <f t="shared" si="2"/>
        <v>11561.255186960114</v>
      </c>
      <c r="AM17" s="8">
        <f t="shared" si="2"/>
        <v>12020.325666484499</v>
      </c>
      <c r="AN17" s="136" t="s">
        <v>211</v>
      </c>
      <c r="AO17" s="85"/>
      <c r="AP17" s="85"/>
      <c r="AQ17" s="85"/>
    </row>
    <row r="18" spans="1:43" ht="52.5" customHeight="1" collapsed="1">
      <c r="A18" s="81" t="s">
        <v>28</v>
      </c>
      <c r="B18" s="1" t="s">
        <v>29</v>
      </c>
      <c r="C18" s="159" t="s">
        <v>199</v>
      </c>
      <c r="D18" s="1" t="s">
        <v>15</v>
      </c>
      <c r="E18" s="3">
        <v>15.606999999999999</v>
      </c>
      <c r="F18" s="3">
        <v>15.449</v>
      </c>
      <c r="G18" s="27">
        <v>13.615</v>
      </c>
      <c r="H18" s="45">
        <v>15.459</v>
      </c>
      <c r="I18" s="27" t="s">
        <v>73</v>
      </c>
      <c r="J18" s="27" t="s">
        <v>73</v>
      </c>
      <c r="K18" s="27">
        <v>15.468999999999999</v>
      </c>
      <c r="L18" s="27">
        <v>15.257999999999999</v>
      </c>
      <c r="M18" s="27">
        <v>15.257999999999999</v>
      </c>
      <c r="N18" s="27">
        <v>12.734999999999999</v>
      </c>
      <c r="O18" s="3">
        <v>15.257999999999999</v>
      </c>
      <c r="P18" s="3" t="s">
        <v>92</v>
      </c>
      <c r="Q18" s="3">
        <v>15.268000000000001</v>
      </c>
      <c r="R18" s="3">
        <v>15.268000000000001</v>
      </c>
      <c r="S18" s="3" t="s">
        <v>92</v>
      </c>
      <c r="T18" s="3">
        <v>15.268000000000001</v>
      </c>
      <c r="U18" s="3" t="s">
        <v>108</v>
      </c>
      <c r="V18" s="3">
        <f>12.735+(12.865-12.735)*2</f>
        <v>12.995000000000001</v>
      </c>
      <c r="W18" s="75">
        <f>O18+(W20-O20)+(W27-O27)/1000</f>
        <v>15.343999999999999</v>
      </c>
      <c r="X18" s="28" t="s">
        <v>85</v>
      </c>
      <c r="Y18" s="75">
        <f>W18</f>
        <v>15.343999999999999</v>
      </c>
      <c r="Z18" s="75">
        <f>W18+(Z20-W20)+(Z27-W27)/1000</f>
        <v>15.782999999999999</v>
      </c>
      <c r="AA18" s="75">
        <f>Z18</f>
        <v>15.782999999999999</v>
      </c>
      <c r="AB18" s="51">
        <f>W18+(AB20-W20)+(AB27-W27)/1000</f>
        <v>15.220999999999998</v>
      </c>
      <c r="AC18" s="51">
        <f>AB18</f>
        <v>15.220999999999998</v>
      </c>
      <c r="AD18" s="32" t="s">
        <v>85</v>
      </c>
      <c r="AE18" s="32" t="s">
        <v>85</v>
      </c>
      <c r="AF18" s="51">
        <f>AC18+(AF20-AC20)+(AF27-AC27)/1000</f>
        <v>14.999666666666664</v>
      </c>
      <c r="AG18" s="51">
        <v>14.628</v>
      </c>
      <c r="AH18" s="51">
        <f>AG18</f>
        <v>14.628</v>
      </c>
      <c r="AI18" s="51" t="s">
        <v>210</v>
      </c>
      <c r="AJ18" s="51">
        <f>AG18+(AJ20-AG20)+(AJ27-AG27)/1000</f>
        <v>14.782</v>
      </c>
      <c r="AK18" s="51">
        <f>AJ18+(AK20-AJ20)+(AK27-AJ27)/1000</f>
        <v>14.917999999999999</v>
      </c>
      <c r="AL18" s="51">
        <f t="shared" ref="AL18:AM18" si="3">AK18+(AL20-AK20)+(AL27-AK27)/1000</f>
        <v>15.055</v>
      </c>
      <c r="AM18" s="51">
        <f t="shared" si="3"/>
        <v>15.192999999999998</v>
      </c>
      <c r="AN18" s="136" t="s">
        <v>213</v>
      </c>
      <c r="AO18" s="137"/>
      <c r="AP18" s="85"/>
    </row>
    <row r="19" spans="1:43" hidden="1" outlineLevel="1">
      <c r="A19" s="81"/>
      <c r="B19" s="1" t="s">
        <v>106</v>
      </c>
      <c r="C19" s="159" t="s">
        <v>199</v>
      </c>
      <c r="D19" s="1"/>
      <c r="E19" s="3"/>
      <c r="F19" s="3"/>
      <c r="G19" s="27"/>
      <c r="H19" s="45"/>
      <c r="I19" s="3"/>
      <c r="J19" s="3"/>
      <c r="K19" s="3"/>
      <c r="L19" s="3"/>
      <c r="M19" s="3"/>
      <c r="N19" s="27"/>
      <c r="O19" s="45"/>
      <c r="P19" s="3"/>
      <c r="Q19" s="3"/>
      <c r="R19" s="3"/>
      <c r="S19" s="3"/>
      <c r="T19" s="3"/>
      <c r="U19" s="3"/>
      <c r="V19" s="27"/>
      <c r="W19" s="27"/>
      <c r="X19" s="27"/>
      <c r="Y19" s="27"/>
      <c r="Z19" s="27"/>
      <c r="AA19" s="27"/>
      <c r="AB19" s="27"/>
      <c r="AC19" s="27"/>
      <c r="AD19" s="27"/>
      <c r="AE19" s="27"/>
      <c r="AF19" s="27"/>
      <c r="AG19" s="27"/>
      <c r="AH19" s="27"/>
      <c r="AI19" s="27"/>
      <c r="AJ19" s="27"/>
      <c r="AK19" s="27"/>
      <c r="AL19" s="27"/>
      <c r="AM19" s="27"/>
      <c r="AN19" s="136"/>
      <c r="AO19" s="137"/>
      <c r="AP19" s="85"/>
    </row>
    <row r="20" spans="1:43" ht="63.75" hidden="1" outlineLevel="1">
      <c r="A20" s="81"/>
      <c r="B20" s="1" t="s">
        <v>109</v>
      </c>
      <c r="C20" s="159" t="s">
        <v>199</v>
      </c>
      <c r="D20" s="1" t="s">
        <v>15</v>
      </c>
      <c r="E20" s="3"/>
      <c r="F20" s="45">
        <v>13.351000000000001</v>
      </c>
      <c r="G20" s="27"/>
      <c r="H20" s="27">
        <v>13.615</v>
      </c>
      <c r="I20" s="3"/>
      <c r="J20" s="3"/>
      <c r="K20" s="3"/>
      <c r="L20" s="3"/>
      <c r="M20" s="3"/>
      <c r="N20" s="27"/>
      <c r="O20" s="27">
        <v>12.734999999999999</v>
      </c>
      <c r="P20" s="3"/>
      <c r="Q20" s="3"/>
      <c r="R20" s="3"/>
      <c r="S20" s="3"/>
      <c r="T20" s="3"/>
      <c r="U20" s="3"/>
      <c r="V20" s="27"/>
      <c r="W20" s="27">
        <v>12.769</v>
      </c>
      <c r="X20" s="32" t="s">
        <v>85</v>
      </c>
      <c r="Y20" s="27">
        <f>(W20-O20)+W20</f>
        <v>12.803000000000001</v>
      </c>
      <c r="Z20" s="27">
        <v>13.311</v>
      </c>
      <c r="AA20" s="27">
        <f>Z20</f>
        <v>13.311</v>
      </c>
      <c r="AB20" s="27">
        <v>12.757</v>
      </c>
      <c r="AC20" s="27">
        <v>12.757</v>
      </c>
      <c r="AD20" s="32" t="s">
        <v>85</v>
      </c>
      <c r="AE20" s="32" t="s">
        <v>176</v>
      </c>
      <c r="AF20" s="27">
        <f>(W20+AC20+12.021)/3</f>
        <v>12.515666666666666</v>
      </c>
      <c r="AG20" s="55">
        <v>12.143000000000001</v>
      </c>
      <c r="AH20" s="55">
        <f>AG20</f>
        <v>12.143000000000001</v>
      </c>
      <c r="AI20" s="161" t="s">
        <v>209</v>
      </c>
      <c r="AJ20" s="27">
        <f>AJ13-AH13+AH20</f>
        <v>12.287000000000001</v>
      </c>
      <c r="AK20" s="27">
        <f>AK13-AJ13+AJ20</f>
        <v>12.403</v>
      </c>
      <c r="AL20" s="27">
        <f t="shared" ref="AL20:AM20" si="4">AL13-AK13+AK20</f>
        <v>12.520000000000001</v>
      </c>
      <c r="AM20" s="27">
        <f t="shared" si="4"/>
        <v>12.638</v>
      </c>
      <c r="AN20" s="136" t="s">
        <v>231</v>
      </c>
      <c r="AO20" s="137"/>
      <c r="AP20" s="85"/>
    </row>
    <row r="21" spans="1:43" ht="60" hidden="1" outlineLevel="1">
      <c r="A21" s="81"/>
      <c r="B21" s="1" t="s">
        <v>110</v>
      </c>
      <c r="C21" s="159" t="s">
        <v>199</v>
      </c>
      <c r="D21" s="1" t="s">
        <v>15</v>
      </c>
      <c r="E21" s="3"/>
      <c r="F21" s="45"/>
      <c r="G21" s="27"/>
      <c r="H21" s="52">
        <v>2.665</v>
      </c>
      <c r="I21" s="53"/>
      <c r="J21" s="53"/>
      <c r="K21" s="53"/>
      <c r="L21" s="53"/>
      <c r="M21" s="53"/>
      <c r="N21" s="53"/>
      <c r="O21" s="54">
        <v>2.64</v>
      </c>
      <c r="P21" s="53"/>
      <c r="Q21" s="53"/>
      <c r="R21" s="53"/>
      <c r="S21" s="53"/>
      <c r="T21" s="53"/>
      <c r="U21" s="53"/>
      <c r="V21" s="53"/>
      <c r="W21" s="55">
        <f>O21+(W27-O27)/1000</f>
        <v>2.6920000000000002</v>
      </c>
      <c r="X21" s="32" t="s">
        <v>85</v>
      </c>
      <c r="Y21" s="55">
        <f>W21+(Y27-W27)/1000</f>
        <v>2.7120000000000002</v>
      </c>
      <c r="Z21" s="55">
        <f>W21+(Z27-W27)/1000</f>
        <v>2.589</v>
      </c>
      <c r="AA21" s="55">
        <f>Z21</f>
        <v>2.589</v>
      </c>
      <c r="AB21" s="55">
        <f>W21+(AB27-W27)/1000</f>
        <v>2.581</v>
      </c>
      <c r="AC21" s="55">
        <f>AB21</f>
        <v>2.581</v>
      </c>
      <c r="AD21" s="32" t="s">
        <v>85</v>
      </c>
      <c r="AE21" s="55">
        <f>AC21+(AE27-AC27)/1000</f>
        <v>2.5909999999999997</v>
      </c>
      <c r="AF21" s="55">
        <f>AC21+(AF27-AC27)/1000</f>
        <v>2.601</v>
      </c>
      <c r="AG21" s="55">
        <f>AC21+(AG27-AC27)/1000</f>
        <v>2.6019999999999999</v>
      </c>
      <c r="AH21" s="55">
        <f>AG21</f>
        <v>2.6019999999999999</v>
      </c>
      <c r="AI21" s="161" t="s">
        <v>208</v>
      </c>
      <c r="AJ21" s="55">
        <f>AH21+(AJ27-AH27)/1000+0.01</f>
        <v>2.6219999999999994</v>
      </c>
      <c r="AK21" s="55">
        <f>AJ21+(AK27-AJ27)/1000</f>
        <v>2.6419999999999995</v>
      </c>
      <c r="AL21" s="55">
        <f>AK21+(AL27-AK27)/1000</f>
        <v>2.6619999999999995</v>
      </c>
      <c r="AM21" s="55">
        <f>AL21+(AM27-AL27)/1000</f>
        <v>2.6819999999999995</v>
      </c>
      <c r="AN21" s="136" t="s">
        <v>153</v>
      </c>
      <c r="AO21" s="137"/>
      <c r="AP21" s="85"/>
    </row>
    <row r="22" spans="1:43" ht="114.75" collapsed="1">
      <c r="A22" s="81" t="s">
        <v>30</v>
      </c>
      <c r="B22" s="1" t="s">
        <v>152</v>
      </c>
      <c r="C22" s="159" t="s">
        <v>199</v>
      </c>
      <c r="D22" s="1" t="s">
        <v>31</v>
      </c>
      <c r="E22" s="8">
        <v>49360.3</v>
      </c>
      <c r="F22" s="8">
        <v>57399.4</v>
      </c>
      <c r="G22" s="8">
        <v>62163.5</v>
      </c>
      <c r="H22" s="8">
        <v>62163.5</v>
      </c>
      <c r="I22" s="8" t="s">
        <v>77</v>
      </c>
      <c r="J22" s="8" t="s">
        <v>80</v>
      </c>
      <c r="K22" s="8">
        <v>65893.3</v>
      </c>
      <c r="L22" s="8">
        <v>67026.5</v>
      </c>
      <c r="M22" s="8">
        <v>66902.5</v>
      </c>
      <c r="N22" s="8">
        <v>66902.5</v>
      </c>
      <c r="O22" s="8">
        <v>66902.5</v>
      </c>
      <c r="P22" s="8" t="s">
        <v>93</v>
      </c>
      <c r="Q22" s="56">
        <v>71048.100000000006</v>
      </c>
      <c r="R22" s="56">
        <v>71048.100000000006</v>
      </c>
      <c r="S22" s="8">
        <v>72298</v>
      </c>
      <c r="T22" s="56">
        <v>71048.100000000006</v>
      </c>
      <c r="U22" s="56" t="s">
        <v>111</v>
      </c>
      <c r="V22" s="56">
        <v>71048.100000000006</v>
      </c>
      <c r="W22" s="56">
        <v>69776.5</v>
      </c>
      <c r="X22" s="32" t="s">
        <v>85</v>
      </c>
      <c r="Y22" s="56">
        <f>W22*0.985</f>
        <v>68729.852499999994</v>
      </c>
      <c r="Z22" s="56" t="s">
        <v>159</v>
      </c>
      <c r="AA22" s="56">
        <f>W22/70044*72340.5</f>
        <v>72064.22960210724</v>
      </c>
      <c r="AB22" s="56">
        <v>71121.8</v>
      </c>
      <c r="AC22" s="56">
        <v>71121.8</v>
      </c>
      <c r="AD22" s="32" t="s">
        <v>85</v>
      </c>
      <c r="AE22" s="32" t="s">
        <v>178</v>
      </c>
      <c r="AF22" s="56">
        <f>(AC17*1000-((AC53-AF53)*100)/13)/12/AF20</f>
        <v>70000.130964063486</v>
      </c>
      <c r="AG22" s="4">
        <v>70421.899999999994</v>
      </c>
      <c r="AH22" s="4">
        <f>AG22</f>
        <v>70421.899999999994</v>
      </c>
      <c r="AI22" s="4" t="s">
        <v>207</v>
      </c>
      <c r="AJ22" s="56">
        <f>AH22*1.03</f>
        <v>72534.557000000001</v>
      </c>
      <c r="AK22" s="56">
        <f>AJ22*1.03</f>
        <v>74710.593710000001</v>
      </c>
      <c r="AL22" s="56">
        <f>AK22*1.03</f>
        <v>76951.911521300004</v>
      </c>
      <c r="AM22" s="56">
        <f>AL22*1.03</f>
        <v>79260.468866939002</v>
      </c>
      <c r="AN22" s="136" t="s">
        <v>214</v>
      </c>
    </row>
    <row r="23" spans="1:43" ht="51">
      <c r="A23" s="81" t="s">
        <v>117</v>
      </c>
      <c r="B23" s="1" t="s">
        <v>118</v>
      </c>
      <c r="C23" s="159" t="s">
        <v>199</v>
      </c>
      <c r="D23" s="1" t="s">
        <v>119</v>
      </c>
      <c r="E23" s="8"/>
      <c r="F23" s="8"/>
      <c r="G23" s="8"/>
      <c r="H23" s="8"/>
      <c r="I23" s="8"/>
      <c r="J23" s="8"/>
      <c r="K23" s="8"/>
      <c r="L23" s="8"/>
      <c r="M23" s="8"/>
      <c r="N23" s="8"/>
      <c r="O23" s="46">
        <v>1.2999999999999999E-2</v>
      </c>
      <c r="P23" s="8"/>
      <c r="Q23" s="56"/>
      <c r="R23" s="56"/>
      <c r="S23" s="8"/>
      <c r="T23" s="56"/>
      <c r="U23" s="56"/>
      <c r="V23" s="56"/>
      <c r="W23" s="138">
        <v>1.7000000000000001E-2</v>
      </c>
      <c r="X23" s="74">
        <v>2.5000000000000001E-2</v>
      </c>
      <c r="Y23" s="56"/>
      <c r="Z23" s="138">
        <v>2.3E-2</v>
      </c>
      <c r="AA23" s="138">
        <v>2.3E-2</v>
      </c>
      <c r="AB23" s="138">
        <v>2.5999999999999999E-2</v>
      </c>
      <c r="AC23" s="138">
        <v>2.5999999999999999E-2</v>
      </c>
      <c r="AD23" s="138">
        <v>2.8000000000000001E-2</v>
      </c>
      <c r="AE23" s="138" t="s">
        <v>179</v>
      </c>
      <c r="AF23" s="138">
        <v>2.4E-2</v>
      </c>
      <c r="AG23" s="138">
        <v>2.5999999999999999E-2</v>
      </c>
      <c r="AH23" s="138">
        <f>AG23</f>
        <v>2.5999999999999999E-2</v>
      </c>
      <c r="AI23" s="138" t="s">
        <v>216</v>
      </c>
      <c r="AJ23" s="138">
        <v>2.5000000000000001E-2</v>
      </c>
      <c r="AK23" s="138">
        <v>2.4E-2</v>
      </c>
      <c r="AL23" s="138">
        <v>2.3E-2</v>
      </c>
      <c r="AM23" s="138">
        <v>2.1999999999999999E-2</v>
      </c>
      <c r="AN23" s="136" t="s">
        <v>215</v>
      </c>
      <c r="AP23" s="139"/>
    </row>
    <row r="24" spans="1:43" ht="42.75" customHeight="1">
      <c r="A24" s="81" t="s">
        <v>120</v>
      </c>
      <c r="B24" s="1" t="s">
        <v>121</v>
      </c>
      <c r="C24" s="159" t="s">
        <v>199</v>
      </c>
      <c r="D24" s="1" t="s">
        <v>31</v>
      </c>
      <c r="E24" s="23"/>
      <c r="F24" s="23"/>
      <c r="G24" s="23"/>
      <c r="H24" s="23">
        <v>15517</v>
      </c>
      <c r="I24" s="23"/>
      <c r="J24" s="23"/>
      <c r="K24" s="8"/>
      <c r="L24" s="8"/>
      <c r="M24" s="8"/>
      <c r="N24" s="8"/>
      <c r="O24" s="84">
        <v>16593</v>
      </c>
      <c r="P24" s="84"/>
      <c r="Q24" s="84"/>
      <c r="R24" s="84"/>
      <c r="S24" s="84"/>
      <c r="T24" s="84"/>
      <c r="U24" s="84"/>
      <c r="V24" s="84"/>
      <c r="W24" s="89">
        <v>18711</v>
      </c>
      <c r="X24" s="84">
        <v>19493</v>
      </c>
      <c r="Y24" s="84"/>
      <c r="Z24" s="84">
        <v>19460</v>
      </c>
      <c r="AA24" s="53">
        <v>19400</v>
      </c>
      <c r="AB24" s="53">
        <v>19120</v>
      </c>
      <c r="AC24" s="53">
        <v>19120</v>
      </c>
      <c r="AD24" s="53">
        <v>20819</v>
      </c>
      <c r="AE24" s="53">
        <v>21049</v>
      </c>
      <c r="AF24" s="77">
        <f>AE24*AF33/100</f>
        <v>21848.861999999997</v>
      </c>
      <c r="AG24" s="77">
        <v>20622</v>
      </c>
      <c r="AH24" s="77">
        <f>AG24</f>
        <v>20622</v>
      </c>
      <c r="AI24" s="77" t="s">
        <v>220</v>
      </c>
      <c r="AJ24" s="77">
        <f>AG24*AJ33/100</f>
        <v>21158.171999999999</v>
      </c>
      <c r="AK24" s="77">
        <f>AJ24*AK33/100</f>
        <v>22046.815224000002</v>
      </c>
      <c r="AL24" s="77">
        <f>AK24*AL33/100</f>
        <v>22840.500572064004</v>
      </c>
      <c r="AM24" s="77">
        <f>AL24*AM33/100</f>
        <v>23754.120594946566</v>
      </c>
      <c r="AN24" s="126" t="s">
        <v>219</v>
      </c>
      <c r="AO24" s="140"/>
      <c r="AP24" s="85"/>
      <c r="AQ24" s="85"/>
    </row>
    <row r="25" spans="1:43">
      <c r="A25" s="81" t="s">
        <v>32</v>
      </c>
      <c r="B25" s="49" t="s">
        <v>33</v>
      </c>
      <c r="C25" s="49"/>
      <c r="D25" s="1"/>
      <c r="E25" s="43"/>
      <c r="F25" s="43"/>
      <c r="G25" s="43"/>
      <c r="H25" s="43"/>
      <c r="I25" s="43"/>
      <c r="J25" s="43"/>
      <c r="K25" s="43"/>
      <c r="L25" s="43"/>
      <c r="M25" s="43"/>
      <c r="N25" s="44"/>
      <c r="O25" s="44"/>
      <c r="P25" s="44"/>
      <c r="Q25" s="44"/>
      <c r="R25" s="44"/>
      <c r="S25" s="44"/>
      <c r="T25" s="44"/>
      <c r="U25" s="44"/>
      <c r="V25" s="44"/>
      <c r="W25" s="88"/>
      <c r="X25" s="44"/>
      <c r="Y25" s="44"/>
      <c r="Z25" s="44"/>
      <c r="AA25" s="44"/>
      <c r="AB25" s="141"/>
      <c r="AC25" s="44"/>
      <c r="AD25" s="142"/>
      <c r="AE25" s="142"/>
      <c r="AF25" s="142"/>
      <c r="AG25" s="142"/>
      <c r="AH25" s="142"/>
      <c r="AI25" s="142"/>
      <c r="AJ25" s="44"/>
      <c r="AK25" s="44"/>
      <c r="AL25" s="44"/>
      <c r="AM25" s="44"/>
      <c r="AN25" s="135"/>
      <c r="AO25" s="85"/>
      <c r="AP25" s="85"/>
      <c r="AQ25" s="85"/>
    </row>
    <row r="26" spans="1:43" ht="34.5" customHeight="1">
      <c r="A26" s="178" t="s">
        <v>34</v>
      </c>
      <c r="B26" s="59" t="s">
        <v>112</v>
      </c>
      <c r="C26" s="159" t="s">
        <v>199</v>
      </c>
      <c r="D26" s="60" t="s">
        <v>69</v>
      </c>
      <c r="E26" s="14">
        <f>229+608</f>
        <v>837</v>
      </c>
      <c r="F26" s="14">
        <f>222+715</f>
        <v>937</v>
      </c>
      <c r="G26" s="14">
        <v>1025</v>
      </c>
      <c r="H26" s="61">
        <f>359+644</f>
        <v>1003</v>
      </c>
      <c r="I26" s="62"/>
      <c r="J26" s="58" t="s">
        <v>85</v>
      </c>
      <c r="K26" s="62">
        <f>G26+25</f>
        <v>1050</v>
      </c>
      <c r="L26" s="62">
        <v>1308</v>
      </c>
      <c r="M26" s="62">
        <v>1308</v>
      </c>
      <c r="N26" s="62">
        <v>1308</v>
      </c>
      <c r="O26" s="62">
        <f>354+636</f>
        <v>990</v>
      </c>
      <c r="P26" s="32" t="s">
        <v>85</v>
      </c>
      <c r="Q26" s="62">
        <v>1333</v>
      </c>
      <c r="R26" s="62">
        <v>1333</v>
      </c>
      <c r="S26" s="32" t="s">
        <v>85</v>
      </c>
      <c r="T26" s="62">
        <v>1333</v>
      </c>
      <c r="U26" s="63" t="s">
        <v>85</v>
      </c>
      <c r="V26" s="62">
        <v>1345</v>
      </c>
      <c r="W26" s="62">
        <f>375+688</f>
        <v>1063</v>
      </c>
      <c r="X26" s="32" t="s">
        <v>85</v>
      </c>
      <c r="Y26" s="62">
        <f>W26+30</f>
        <v>1093</v>
      </c>
      <c r="Z26" s="73">
        <f>Z27+Z28</f>
        <v>857</v>
      </c>
      <c r="AA26" s="73">
        <f>AA27+AA28</f>
        <v>1093</v>
      </c>
      <c r="AB26" s="73">
        <f>AB27+AB28</f>
        <v>853</v>
      </c>
      <c r="AC26" s="73">
        <f t="shared" ref="AC26:AH26" si="5">AC27+AC28</f>
        <v>853</v>
      </c>
      <c r="AD26" s="73">
        <f t="shared" si="5"/>
        <v>735</v>
      </c>
      <c r="AE26" s="73">
        <f t="shared" si="5"/>
        <v>839</v>
      </c>
      <c r="AF26" s="73">
        <f>AC26+10</f>
        <v>863</v>
      </c>
      <c r="AG26" s="73">
        <f t="shared" si="5"/>
        <v>859</v>
      </c>
      <c r="AH26" s="73">
        <f t="shared" si="5"/>
        <v>859</v>
      </c>
      <c r="AI26" s="73" t="s">
        <v>226</v>
      </c>
      <c r="AJ26" s="62">
        <f>AG26+22</f>
        <v>881</v>
      </c>
      <c r="AK26" s="62">
        <f>AJ26+15</f>
        <v>896</v>
      </c>
      <c r="AL26" s="62">
        <f>AK26+15</f>
        <v>911</v>
      </c>
      <c r="AM26" s="62">
        <f>AL26+15</f>
        <v>926</v>
      </c>
      <c r="AN26" s="175" t="s">
        <v>229</v>
      </c>
      <c r="AO26" s="85"/>
      <c r="AP26" s="85"/>
      <c r="AQ26" s="85"/>
    </row>
    <row r="27" spans="1:43" ht="15" customHeight="1">
      <c r="A27" s="179"/>
      <c r="B27" s="71" t="s">
        <v>122</v>
      </c>
      <c r="C27" s="159" t="s">
        <v>199</v>
      </c>
      <c r="D27" s="60" t="s">
        <v>69</v>
      </c>
      <c r="E27" s="14">
        <v>671</v>
      </c>
      <c r="F27" s="14">
        <v>697</v>
      </c>
      <c r="G27" s="14">
        <v>675</v>
      </c>
      <c r="H27" s="61">
        <v>644</v>
      </c>
      <c r="I27" s="62"/>
      <c r="J27" s="58" t="s">
        <v>85</v>
      </c>
      <c r="K27" s="62">
        <v>685</v>
      </c>
      <c r="L27" s="62">
        <v>850</v>
      </c>
      <c r="M27" s="62">
        <v>850</v>
      </c>
      <c r="N27" s="62">
        <v>850</v>
      </c>
      <c r="O27" s="62">
        <v>636</v>
      </c>
      <c r="P27" s="32" t="s">
        <v>85</v>
      </c>
      <c r="Q27" s="62">
        <v>870</v>
      </c>
      <c r="R27" s="62">
        <v>870</v>
      </c>
      <c r="S27" s="32" t="s">
        <v>85</v>
      </c>
      <c r="T27" s="62">
        <v>870</v>
      </c>
      <c r="U27" s="63" t="s">
        <v>85</v>
      </c>
      <c r="V27" s="62">
        <v>870</v>
      </c>
      <c r="W27" s="62">
        <v>688</v>
      </c>
      <c r="X27" s="32" t="s">
        <v>85</v>
      </c>
      <c r="Y27" s="62">
        <f>W27+20</f>
        <v>708</v>
      </c>
      <c r="Z27" s="62">
        <v>585</v>
      </c>
      <c r="AA27" s="62">
        <f>Y27</f>
        <v>708</v>
      </c>
      <c r="AB27" s="62">
        <v>577</v>
      </c>
      <c r="AC27" s="62">
        <v>577</v>
      </c>
      <c r="AD27" s="62">
        <v>570</v>
      </c>
      <c r="AE27" s="62">
        <v>587</v>
      </c>
      <c r="AF27" s="62">
        <f>AE27+10</f>
        <v>597</v>
      </c>
      <c r="AG27" s="62">
        <v>598</v>
      </c>
      <c r="AH27" s="62">
        <f>AG27</f>
        <v>598</v>
      </c>
      <c r="AI27" s="62" t="s">
        <v>227</v>
      </c>
      <c r="AJ27" s="62">
        <f>AG27+10</f>
        <v>608</v>
      </c>
      <c r="AK27" s="62">
        <f>AJ27+20</f>
        <v>628</v>
      </c>
      <c r="AL27" s="62">
        <f t="shared" ref="AL27:AM27" si="6">AK27+20</f>
        <v>648</v>
      </c>
      <c r="AM27" s="62">
        <f t="shared" si="6"/>
        <v>668</v>
      </c>
      <c r="AN27" s="176"/>
      <c r="AO27" s="85"/>
      <c r="AP27" s="85"/>
      <c r="AQ27" s="85"/>
    </row>
    <row r="28" spans="1:43" ht="15" customHeight="1">
      <c r="A28" s="180"/>
      <c r="B28" s="71" t="s">
        <v>123</v>
      </c>
      <c r="C28" s="159" t="s">
        <v>199</v>
      </c>
      <c r="D28" s="60" t="s">
        <v>69</v>
      </c>
      <c r="E28" s="2"/>
      <c r="F28" s="24"/>
      <c r="G28" s="24"/>
      <c r="H28" s="57"/>
      <c r="I28" s="24"/>
      <c r="J28" s="58"/>
      <c r="K28" s="24"/>
      <c r="L28" s="24"/>
      <c r="M28" s="24"/>
      <c r="N28" s="24"/>
      <c r="O28" s="24">
        <v>354</v>
      </c>
      <c r="P28" s="32"/>
      <c r="Q28" s="24"/>
      <c r="R28" s="24"/>
      <c r="S28" s="32"/>
      <c r="T28" s="24"/>
      <c r="U28" s="58"/>
      <c r="V28" s="24"/>
      <c r="W28" s="24">
        <v>375</v>
      </c>
      <c r="X28" s="32" t="s">
        <v>85</v>
      </c>
      <c r="Y28" s="73">
        <f>W28+10</f>
        <v>385</v>
      </c>
      <c r="Z28" s="24">
        <v>272</v>
      </c>
      <c r="AA28" s="24">
        <f>Y28</f>
        <v>385</v>
      </c>
      <c r="AB28" s="24">
        <v>276</v>
      </c>
      <c r="AC28" s="24">
        <v>276</v>
      </c>
      <c r="AD28" s="24">
        <v>165</v>
      </c>
      <c r="AE28" s="24">
        <v>252</v>
      </c>
      <c r="AF28" s="24">
        <f>AF26-AF27</f>
        <v>266</v>
      </c>
      <c r="AG28" s="24">
        <v>261</v>
      </c>
      <c r="AH28" s="24">
        <f>AG28</f>
        <v>261</v>
      </c>
      <c r="AI28" s="24" t="s">
        <v>228</v>
      </c>
      <c r="AJ28" s="24">
        <f t="shared" ref="AJ28:AM28" si="7">AJ26-AJ27</f>
        <v>273</v>
      </c>
      <c r="AK28" s="24">
        <f t="shared" si="7"/>
        <v>268</v>
      </c>
      <c r="AL28" s="24">
        <f t="shared" si="7"/>
        <v>263</v>
      </c>
      <c r="AM28" s="24">
        <f t="shared" si="7"/>
        <v>258</v>
      </c>
      <c r="AN28" s="177"/>
      <c r="AO28" s="85"/>
      <c r="AP28" s="85"/>
      <c r="AQ28" s="85"/>
    </row>
    <row r="29" spans="1:43" ht="45">
      <c r="A29" s="169" t="s">
        <v>35</v>
      </c>
      <c r="B29" s="59" t="s">
        <v>124</v>
      </c>
      <c r="C29" s="159" t="s">
        <v>199</v>
      </c>
      <c r="D29" s="60" t="s">
        <v>69</v>
      </c>
      <c r="E29" s="15"/>
      <c r="F29" s="15"/>
      <c r="G29" s="15"/>
      <c r="H29" s="15"/>
      <c r="I29" s="16"/>
      <c r="J29" s="13"/>
      <c r="K29" s="15"/>
      <c r="L29" s="15"/>
      <c r="M29" s="15"/>
      <c r="N29" s="15"/>
      <c r="O29" s="53">
        <v>50</v>
      </c>
      <c r="P29" s="143"/>
      <c r="Q29" s="53"/>
      <c r="R29" s="53"/>
      <c r="S29" s="143"/>
      <c r="T29" s="53"/>
      <c r="U29" s="143"/>
      <c r="V29" s="53"/>
      <c r="W29" s="53">
        <v>60</v>
      </c>
      <c r="X29" s="32" t="s">
        <v>85</v>
      </c>
      <c r="Y29" s="53">
        <v>58</v>
      </c>
      <c r="Z29" s="32" t="s">
        <v>161</v>
      </c>
      <c r="AA29" s="53">
        <f>W29/W27*AA27</f>
        <v>61.744186046511629</v>
      </c>
      <c r="AB29" s="25">
        <v>78</v>
      </c>
      <c r="AC29" s="53">
        <v>78</v>
      </c>
      <c r="AD29" s="32" t="s">
        <v>85</v>
      </c>
      <c r="AE29" s="32" t="s">
        <v>180</v>
      </c>
      <c r="AF29" s="53">
        <f>(82-78)+82</f>
        <v>86</v>
      </c>
      <c r="AG29" s="53">
        <v>95</v>
      </c>
      <c r="AH29" s="53">
        <f>AG29</f>
        <v>95</v>
      </c>
      <c r="AI29" s="53" t="s">
        <v>221</v>
      </c>
      <c r="AJ29" s="53">
        <f>AG29/AF27*AJ27</f>
        <v>96.750418760469017</v>
      </c>
      <c r="AK29" s="53">
        <f>AJ29/AJ27*AK27</f>
        <v>99.932998324958135</v>
      </c>
      <c r="AL29" s="53">
        <f t="shared" ref="AL29:AM29" si="8">AK29/AK27*AL27</f>
        <v>103.11557788944725</v>
      </c>
      <c r="AM29" s="53">
        <f t="shared" si="8"/>
        <v>106.29815745393635</v>
      </c>
      <c r="AN29" s="136" t="s">
        <v>222</v>
      </c>
      <c r="AO29" s="140" t="s">
        <v>181</v>
      </c>
      <c r="AP29" s="85"/>
      <c r="AQ29" s="85"/>
    </row>
    <row r="30" spans="1:43">
      <c r="A30" s="81" t="s">
        <v>36</v>
      </c>
      <c r="B30" s="49" t="s">
        <v>37</v>
      </c>
      <c r="C30" s="49"/>
      <c r="D30" s="6"/>
      <c r="E30" s="28"/>
      <c r="F30" s="29"/>
      <c r="G30" s="29"/>
      <c r="H30" s="29"/>
      <c r="I30" s="29"/>
      <c r="J30" s="29"/>
      <c r="K30" s="29"/>
      <c r="L30" s="29"/>
      <c r="M30" s="29"/>
      <c r="N30" s="29"/>
      <c r="O30" s="29"/>
      <c r="P30" s="29"/>
      <c r="Q30" s="29"/>
      <c r="R30" s="29"/>
      <c r="S30" s="29"/>
      <c r="T30" s="29"/>
      <c r="U30" s="29"/>
      <c r="V30" s="29"/>
      <c r="W30" s="29"/>
      <c r="X30" s="29"/>
      <c r="Y30" s="29"/>
      <c r="Z30" s="29"/>
      <c r="AA30" s="29"/>
      <c r="AB30" s="29"/>
      <c r="AC30" s="29"/>
      <c r="AD30" s="29"/>
      <c r="AE30" s="29"/>
      <c r="AF30" s="29"/>
      <c r="AG30" s="29"/>
      <c r="AH30" s="29"/>
      <c r="AI30" s="29"/>
      <c r="AJ30" s="29"/>
      <c r="AK30" s="29"/>
      <c r="AL30" s="29"/>
      <c r="AM30" s="29"/>
      <c r="AN30" s="136"/>
      <c r="AO30" s="137" t="s">
        <v>204</v>
      </c>
      <c r="AQ30" s="85"/>
    </row>
    <row r="31" spans="1:43" ht="45">
      <c r="A31" s="81" t="s">
        <v>38</v>
      </c>
      <c r="B31" s="1" t="s">
        <v>39</v>
      </c>
      <c r="C31" s="159" t="s">
        <v>199</v>
      </c>
      <c r="D31" s="6" t="s">
        <v>40</v>
      </c>
      <c r="E31" s="8">
        <v>1613.5</v>
      </c>
      <c r="F31" s="8">
        <v>1791.7</v>
      </c>
      <c r="G31" s="17">
        <v>1921.3</v>
      </c>
      <c r="H31" s="17">
        <v>1921.3</v>
      </c>
      <c r="I31" s="17" t="s">
        <v>78</v>
      </c>
      <c r="J31" s="13" t="s">
        <v>85</v>
      </c>
      <c r="K31" s="17">
        <f>PRODUCT(G31*1.063)</f>
        <v>2042.3418999999999</v>
      </c>
      <c r="L31" s="9">
        <f>G31*1.067</f>
        <v>2050.0270999999998</v>
      </c>
      <c r="M31" s="30">
        <v>2293.6</v>
      </c>
      <c r="N31" s="30">
        <v>2293.6</v>
      </c>
      <c r="O31" s="30">
        <v>2293.6</v>
      </c>
      <c r="P31" s="32" t="s">
        <v>85</v>
      </c>
      <c r="Q31" s="9">
        <f t="shared" ref="Q31:Q32" si="9">PRODUCT(L31*1.051)</f>
        <v>2154.5784820999997</v>
      </c>
      <c r="R31" s="9">
        <f>M31*1.156</f>
        <v>2651.4015999999997</v>
      </c>
      <c r="S31" s="32" t="s">
        <v>85</v>
      </c>
      <c r="T31" s="9">
        <f>M31*1.156</f>
        <v>2651.4015999999997</v>
      </c>
      <c r="U31" s="58" t="s">
        <v>85</v>
      </c>
      <c r="V31" s="9">
        <f>N31*1.156</f>
        <v>2651.4015999999997</v>
      </c>
      <c r="W31" s="9">
        <v>2286.98</v>
      </c>
      <c r="X31" s="32" t="s">
        <v>85</v>
      </c>
      <c r="Y31" s="9">
        <f>W31*1.064</f>
        <v>2433.34672</v>
      </c>
      <c r="Z31" s="32" t="s">
        <v>85</v>
      </c>
      <c r="AA31" s="9">
        <f>W31</f>
        <v>2286.98</v>
      </c>
      <c r="AB31" s="9" t="s">
        <v>166</v>
      </c>
      <c r="AC31" s="9">
        <v>3857.0309999999999</v>
      </c>
      <c r="AD31" s="32" t="s">
        <v>85</v>
      </c>
      <c r="AE31" s="32" t="s">
        <v>85</v>
      </c>
      <c r="AF31" s="9">
        <f>AC31*AC33*AF33/10000</f>
        <v>4219.7924796119996</v>
      </c>
      <c r="AG31" s="9">
        <v>2335.7035000000001</v>
      </c>
      <c r="AH31" s="9">
        <f>AG31</f>
        <v>2335.7035000000001</v>
      </c>
      <c r="AI31" s="32" t="s">
        <v>85</v>
      </c>
      <c r="AJ31" s="9">
        <f>AG31*AJ33/100</f>
        <v>2396.431791</v>
      </c>
      <c r="AK31" s="9">
        <f>AJ31*AK33/100</f>
        <v>2497.0819262220002</v>
      </c>
      <c r="AL31" s="9">
        <f>AK31*AL33/100</f>
        <v>2586.976875565992</v>
      </c>
      <c r="AM31" s="9">
        <f>AL31*AM33/100</f>
        <v>2690.4559505886318</v>
      </c>
      <c r="AN31" s="136" t="s">
        <v>223</v>
      </c>
      <c r="AO31" s="85"/>
      <c r="AP31" s="85"/>
      <c r="AQ31" s="85"/>
    </row>
    <row r="32" spans="1:43" ht="45">
      <c r="A32" s="81" t="s">
        <v>41</v>
      </c>
      <c r="B32" s="1" t="s">
        <v>42</v>
      </c>
      <c r="C32" s="159" t="s">
        <v>199</v>
      </c>
      <c r="D32" s="6" t="s">
        <v>40</v>
      </c>
      <c r="E32" s="3">
        <v>345.5</v>
      </c>
      <c r="F32" s="3">
        <v>379.61</v>
      </c>
      <c r="G32" s="3">
        <v>386.4</v>
      </c>
      <c r="H32" s="3">
        <v>386.4</v>
      </c>
      <c r="I32" s="3" t="s">
        <v>76</v>
      </c>
      <c r="J32" s="13" t="s">
        <v>85</v>
      </c>
      <c r="K32" s="3">
        <f>PRODUCT(G32*1.073)</f>
        <v>414.60719999999998</v>
      </c>
      <c r="L32" s="3">
        <v>376.7</v>
      </c>
      <c r="M32" s="3">
        <v>376.72680000000003</v>
      </c>
      <c r="N32" s="3">
        <v>376.72680000000003</v>
      </c>
      <c r="O32" s="3">
        <v>376.72680000000003</v>
      </c>
      <c r="P32" s="32" t="s">
        <v>85</v>
      </c>
      <c r="Q32" s="9">
        <f t="shared" si="9"/>
        <v>395.91169999999994</v>
      </c>
      <c r="R32" s="9">
        <f>M32*1.156</f>
        <v>435.49618079999999</v>
      </c>
      <c r="S32" s="32" t="s">
        <v>85</v>
      </c>
      <c r="T32" s="9">
        <f>M32*1.156</f>
        <v>435.49618079999999</v>
      </c>
      <c r="U32" s="58" t="s">
        <v>85</v>
      </c>
      <c r="V32" s="9">
        <f>N32*1.156</f>
        <v>435.49618079999999</v>
      </c>
      <c r="W32" s="9">
        <v>486.51119999999997</v>
      </c>
      <c r="X32" s="32" t="s">
        <v>85</v>
      </c>
      <c r="Y32" s="9">
        <f>W32*1.064</f>
        <v>517.64791679999996</v>
      </c>
      <c r="Z32" s="32" t="s">
        <v>85</v>
      </c>
      <c r="AA32" s="9">
        <f>W32*AA33/100</f>
        <v>522.99954000000002</v>
      </c>
      <c r="AB32" s="9" t="s">
        <v>167</v>
      </c>
      <c r="AC32" s="9">
        <v>497.65730000000002</v>
      </c>
      <c r="AD32" s="32" t="s">
        <v>85</v>
      </c>
      <c r="AE32" s="32" t="s">
        <v>85</v>
      </c>
      <c r="AF32" s="9">
        <f>AC32*AC33*AF33/10000</f>
        <v>544.46296437959995</v>
      </c>
      <c r="AG32" s="9">
        <v>746.5</v>
      </c>
      <c r="AH32" s="9">
        <f>AG32</f>
        <v>746.5</v>
      </c>
      <c r="AI32" s="32" t="s">
        <v>85</v>
      </c>
      <c r="AJ32" s="9">
        <f>AG32*AJ33/100</f>
        <v>765.90899999999999</v>
      </c>
      <c r="AK32" s="9">
        <f>AJ32*AK33/100</f>
        <v>798.077178</v>
      </c>
      <c r="AL32" s="9">
        <f>AK32*AL33/100</f>
        <v>826.807956408</v>
      </c>
      <c r="AM32" s="9">
        <f>AL32*AM33/100</f>
        <v>859.88027466432004</v>
      </c>
      <c r="AN32" s="136" t="s">
        <v>189</v>
      </c>
      <c r="AO32" s="85"/>
      <c r="AP32" s="85"/>
      <c r="AQ32" s="85"/>
    </row>
    <row r="33" spans="1:43" ht="52.5" customHeight="1">
      <c r="A33" s="81" t="s">
        <v>43</v>
      </c>
      <c r="B33" s="1" t="s">
        <v>125</v>
      </c>
      <c r="C33" s="159" t="s">
        <v>199</v>
      </c>
      <c r="D33" s="6" t="s">
        <v>119</v>
      </c>
      <c r="E33" s="3"/>
      <c r="F33" s="3"/>
      <c r="G33" s="3"/>
      <c r="H33" s="3"/>
      <c r="I33" s="3"/>
      <c r="J33" s="13"/>
      <c r="K33" s="3"/>
      <c r="L33" s="9"/>
      <c r="M33" s="9"/>
      <c r="N33" s="9"/>
      <c r="O33" s="9">
        <v>109.71</v>
      </c>
      <c r="P33" s="30"/>
      <c r="Q33" s="9"/>
      <c r="R33" s="9"/>
      <c r="S33" s="30"/>
      <c r="T33" s="9"/>
      <c r="U33" s="30"/>
      <c r="V33" s="9"/>
      <c r="W33" s="9">
        <v>115.35</v>
      </c>
      <c r="X33" s="32">
        <v>111.71</v>
      </c>
      <c r="Y33" s="9"/>
      <c r="Z33" s="15" t="s">
        <v>160</v>
      </c>
      <c r="AA33" s="9">
        <v>107.5</v>
      </c>
      <c r="AB33" s="9">
        <v>105.4</v>
      </c>
      <c r="AC33" s="9">
        <v>105.4</v>
      </c>
      <c r="AD33" s="9">
        <v>104.4</v>
      </c>
      <c r="AE33" s="9">
        <v>103</v>
      </c>
      <c r="AF33" s="9">
        <v>103.8</v>
      </c>
      <c r="AG33" s="9">
        <v>102.5</v>
      </c>
      <c r="AH33" s="15">
        <v>101.67</v>
      </c>
      <c r="AI33" s="15">
        <v>99.84</v>
      </c>
      <c r="AJ33" s="9">
        <v>102.6</v>
      </c>
      <c r="AK33" s="9">
        <v>104.2</v>
      </c>
      <c r="AL33" s="9">
        <v>103.6</v>
      </c>
      <c r="AM33" s="9">
        <v>104</v>
      </c>
      <c r="AN33" s="136" t="s">
        <v>230</v>
      </c>
      <c r="AO33" s="85"/>
      <c r="AP33" s="85"/>
      <c r="AQ33" s="85"/>
    </row>
    <row r="34" spans="1:43" ht="28.5">
      <c r="A34" s="81" t="s">
        <v>44</v>
      </c>
      <c r="B34" s="72" t="s">
        <v>126</v>
      </c>
      <c r="C34" s="72"/>
      <c r="D34" s="6"/>
      <c r="E34" s="28"/>
      <c r="F34" s="64"/>
      <c r="G34" s="64"/>
      <c r="H34" s="64"/>
      <c r="I34" s="64"/>
      <c r="J34" s="64"/>
      <c r="K34" s="64"/>
      <c r="L34" s="64"/>
      <c r="M34" s="64"/>
      <c r="N34" s="64"/>
      <c r="O34" s="64"/>
      <c r="P34" s="64"/>
      <c r="Q34" s="64"/>
      <c r="R34" s="64"/>
      <c r="S34" s="64"/>
      <c r="T34" s="64"/>
      <c r="U34" s="64"/>
      <c r="V34" s="9"/>
      <c r="W34" s="9"/>
      <c r="X34" s="9"/>
      <c r="Y34" s="31"/>
      <c r="Z34" s="31"/>
      <c r="AA34" s="31"/>
      <c r="AB34" s="31"/>
      <c r="AC34" s="31"/>
      <c r="AD34" s="31"/>
      <c r="AE34" s="31"/>
      <c r="AF34" s="31"/>
      <c r="AG34" s="31"/>
      <c r="AH34" s="31"/>
      <c r="AI34" s="31"/>
      <c r="AJ34" s="64"/>
      <c r="AK34" s="64"/>
      <c r="AL34" s="64"/>
      <c r="AM34" s="64"/>
      <c r="AN34" s="135"/>
      <c r="AO34" s="85"/>
      <c r="AP34" s="85"/>
      <c r="AQ34" s="85"/>
    </row>
    <row r="35" spans="1:43" ht="30" customHeight="1">
      <c r="A35" s="81" t="s">
        <v>45</v>
      </c>
      <c r="B35" s="1" t="s">
        <v>127</v>
      </c>
      <c r="C35" s="159" t="s">
        <v>200</v>
      </c>
      <c r="D35" s="6" t="s">
        <v>69</v>
      </c>
      <c r="E35" s="24"/>
      <c r="F35" s="24"/>
      <c r="G35" s="24"/>
      <c r="H35" s="24"/>
      <c r="I35" s="24"/>
      <c r="J35" s="24"/>
      <c r="K35" s="24"/>
      <c r="L35" s="24"/>
      <c r="M35" s="24"/>
      <c r="N35" s="24"/>
      <c r="O35" s="24">
        <v>425</v>
      </c>
      <c r="P35" s="32"/>
      <c r="Q35" s="24"/>
      <c r="R35" s="24"/>
      <c r="S35" s="32"/>
      <c r="T35" s="24"/>
      <c r="U35" s="32"/>
      <c r="V35" s="24"/>
      <c r="W35" s="62">
        <v>416</v>
      </c>
      <c r="X35" s="32" t="s">
        <v>85</v>
      </c>
      <c r="Y35" s="32" t="s">
        <v>85</v>
      </c>
      <c r="Z35" s="24">
        <v>404</v>
      </c>
      <c r="AA35" s="24">
        <f>Z35+2</f>
        <v>406</v>
      </c>
      <c r="AB35" s="24">
        <v>401</v>
      </c>
      <c r="AC35" s="24">
        <f>AC37</f>
        <v>401</v>
      </c>
      <c r="AD35" s="32" t="s">
        <v>85</v>
      </c>
      <c r="AE35" s="58">
        <f>AE37</f>
        <v>400</v>
      </c>
      <c r="AF35" s="58">
        <f t="shared" ref="AF35" si="10">AF37</f>
        <v>396</v>
      </c>
      <c r="AG35" s="24">
        <f>AG37</f>
        <v>383</v>
      </c>
      <c r="AH35" s="24">
        <f t="shared" ref="AH35:AH44" si="11">AG35</f>
        <v>383</v>
      </c>
      <c r="AI35" s="24">
        <f>AI37</f>
        <v>379</v>
      </c>
      <c r="AJ35" s="24">
        <f>AJ37</f>
        <v>367</v>
      </c>
      <c r="AK35" s="24">
        <f t="shared" ref="AK35:AM35" si="12">AK37</f>
        <v>347</v>
      </c>
      <c r="AL35" s="24">
        <f t="shared" si="12"/>
        <v>334</v>
      </c>
      <c r="AM35" s="24">
        <f t="shared" si="12"/>
        <v>327</v>
      </c>
      <c r="AN35" s="126" t="s">
        <v>236</v>
      </c>
      <c r="AO35" s="85" t="s">
        <v>150</v>
      </c>
      <c r="AP35" s="85"/>
      <c r="AQ35" s="85"/>
    </row>
    <row r="36" spans="1:43" s="90" customFormat="1" ht="47.25" hidden="1" outlineLevel="1">
      <c r="A36" s="106"/>
      <c r="B36" s="107" t="s">
        <v>182</v>
      </c>
      <c r="C36" s="107"/>
      <c r="D36" s="108" t="s">
        <v>69</v>
      </c>
      <c r="E36" s="110"/>
      <c r="F36" s="110"/>
      <c r="G36" s="110"/>
      <c r="H36" s="110"/>
      <c r="I36" s="110"/>
      <c r="J36" s="110"/>
      <c r="K36" s="110"/>
      <c r="L36" s="110"/>
      <c r="M36" s="110"/>
      <c r="N36" s="110"/>
      <c r="O36" s="110"/>
      <c r="P36" s="114"/>
      <c r="Q36" s="110"/>
      <c r="R36" s="110"/>
      <c r="S36" s="114"/>
      <c r="T36" s="110"/>
      <c r="U36" s="114"/>
      <c r="V36" s="110"/>
      <c r="W36" s="144"/>
      <c r="X36" s="114"/>
      <c r="Y36" s="114"/>
      <c r="Z36" s="110"/>
      <c r="AA36" s="110"/>
      <c r="AB36" s="110">
        <v>6</v>
      </c>
      <c r="AC36" s="110">
        <v>6</v>
      </c>
      <c r="AD36" s="114"/>
      <c r="AE36" s="110">
        <v>6</v>
      </c>
      <c r="AF36" s="110">
        <v>6</v>
      </c>
      <c r="AG36" s="110">
        <v>10</v>
      </c>
      <c r="AH36" s="110">
        <f t="shared" si="11"/>
        <v>10</v>
      </c>
      <c r="AI36" s="110">
        <f>AH36</f>
        <v>10</v>
      </c>
      <c r="AJ36" s="110">
        <f>AG36</f>
        <v>10</v>
      </c>
      <c r="AK36" s="110">
        <f>AJ36</f>
        <v>10</v>
      </c>
      <c r="AL36" s="110">
        <f t="shared" ref="AL36:AM36" si="13">AK36</f>
        <v>10</v>
      </c>
      <c r="AM36" s="110">
        <f t="shared" si="13"/>
        <v>10</v>
      </c>
      <c r="AN36" s="145" t="s">
        <v>195</v>
      </c>
      <c r="AO36" s="117"/>
      <c r="AP36" s="117"/>
      <c r="AQ36" s="117"/>
    </row>
    <row r="37" spans="1:43" s="90" customFormat="1" ht="191.25" hidden="1" outlineLevel="1">
      <c r="A37" s="106"/>
      <c r="B37" s="107" t="s">
        <v>183</v>
      </c>
      <c r="C37" s="107"/>
      <c r="D37" s="108" t="s">
        <v>69</v>
      </c>
      <c r="E37" s="110"/>
      <c r="F37" s="110"/>
      <c r="G37" s="110"/>
      <c r="H37" s="110"/>
      <c r="I37" s="110"/>
      <c r="J37" s="110"/>
      <c r="K37" s="110"/>
      <c r="L37" s="110"/>
      <c r="M37" s="110"/>
      <c r="N37" s="110"/>
      <c r="O37" s="110"/>
      <c r="P37" s="114"/>
      <c r="Q37" s="110"/>
      <c r="R37" s="110"/>
      <c r="S37" s="114"/>
      <c r="T37" s="110"/>
      <c r="U37" s="114"/>
      <c r="V37" s="110"/>
      <c r="W37" s="144"/>
      <c r="X37" s="114"/>
      <c r="Y37" s="114"/>
      <c r="Z37" s="110"/>
      <c r="AA37" s="110"/>
      <c r="AB37" s="110">
        <v>401</v>
      </c>
      <c r="AC37" s="110">
        <v>401</v>
      </c>
      <c r="AD37" s="114"/>
      <c r="AE37" s="110">
        <f>AC37-1</f>
        <v>400</v>
      </c>
      <c r="AF37" s="110">
        <f>AC37-7+2</f>
        <v>396</v>
      </c>
      <c r="AG37" s="110">
        <v>383</v>
      </c>
      <c r="AH37" s="110">
        <f t="shared" si="11"/>
        <v>383</v>
      </c>
      <c r="AI37" s="110">
        <f>AH37-4</f>
        <v>379</v>
      </c>
      <c r="AJ37" s="172">
        <f>AI37-12</f>
        <v>367</v>
      </c>
      <c r="AK37" s="172">
        <f>AJ37+4-24</f>
        <v>347</v>
      </c>
      <c r="AL37" s="172">
        <f>AK37+2-15</f>
        <v>334</v>
      </c>
      <c r="AM37" s="172">
        <f>AL37+2-9</f>
        <v>327</v>
      </c>
      <c r="AN37" s="146" t="s">
        <v>236</v>
      </c>
      <c r="AO37" s="117"/>
      <c r="AP37" s="117"/>
      <c r="AQ37" s="117"/>
    </row>
    <row r="38" spans="1:43" s="90" customFormat="1" ht="38.25" hidden="1" outlineLevel="1">
      <c r="A38" s="106"/>
      <c r="B38" s="107" t="s">
        <v>184</v>
      </c>
      <c r="C38" s="107"/>
      <c r="D38" s="108" t="s">
        <v>69</v>
      </c>
      <c r="E38" s="110"/>
      <c r="F38" s="110"/>
      <c r="G38" s="110"/>
      <c r="H38" s="110"/>
      <c r="I38" s="110"/>
      <c r="J38" s="110"/>
      <c r="K38" s="110"/>
      <c r="L38" s="110"/>
      <c r="M38" s="110"/>
      <c r="N38" s="110"/>
      <c r="O38" s="110"/>
      <c r="P38" s="114"/>
      <c r="Q38" s="110"/>
      <c r="R38" s="110"/>
      <c r="S38" s="114"/>
      <c r="T38" s="110"/>
      <c r="U38" s="114"/>
      <c r="V38" s="110"/>
      <c r="W38" s="144"/>
      <c r="X38" s="114"/>
      <c r="Y38" s="114"/>
      <c r="Z38" s="110"/>
      <c r="AA38" s="110"/>
      <c r="AB38" s="110">
        <v>827</v>
      </c>
      <c r="AC38" s="110">
        <v>827</v>
      </c>
      <c r="AD38" s="114"/>
      <c r="AE38" s="110">
        <v>827</v>
      </c>
      <c r="AF38" s="110">
        <f>827+50</f>
        <v>877</v>
      </c>
      <c r="AG38" s="110">
        <v>851</v>
      </c>
      <c r="AH38" s="110">
        <f t="shared" si="11"/>
        <v>851</v>
      </c>
      <c r="AI38" s="110"/>
      <c r="AJ38" s="110">
        <f>AJ42/(AG42/AG38)</f>
        <v>890.80172693829854</v>
      </c>
      <c r="AK38" s="110">
        <f>(AJ38-AG38)+AJ38</f>
        <v>930.60345387659709</v>
      </c>
      <c r="AL38" s="110">
        <f>(AK38-AJ38)+AK38</f>
        <v>970.40518081489563</v>
      </c>
      <c r="AM38" s="110">
        <f t="shared" ref="AM38" si="14">(AL38-AK38)+AL38</f>
        <v>1010.2069077531942</v>
      </c>
      <c r="AN38" s="102" t="s">
        <v>237</v>
      </c>
      <c r="AO38" s="117"/>
      <c r="AP38" s="117"/>
      <c r="AQ38" s="117"/>
    </row>
    <row r="39" spans="1:43" ht="43.5" customHeight="1" collapsed="1">
      <c r="A39" s="81" t="s">
        <v>46</v>
      </c>
      <c r="B39" s="59" t="s">
        <v>157</v>
      </c>
      <c r="C39" s="159" t="s">
        <v>200</v>
      </c>
      <c r="D39" s="6" t="s">
        <v>129</v>
      </c>
      <c r="E39" s="24"/>
      <c r="F39" s="24"/>
      <c r="G39" s="24"/>
      <c r="H39" s="27">
        <v>528.9</v>
      </c>
      <c r="I39" s="24"/>
      <c r="J39" s="24"/>
      <c r="K39" s="24"/>
      <c r="L39" s="24"/>
      <c r="M39" s="24"/>
      <c r="N39" s="24"/>
      <c r="O39" s="3">
        <v>560.05100000000004</v>
      </c>
      <c r="P39" s="3"/>
      <c r="Q39" s="3"/>
      <c r="R39" s="3"/>
      <c r="S39" s="3"/>
      <c r="T39" s="3"/>
      <c r="U39" s="3"/>
      <c r="V39" s="3"/>
      <c r="W39" s="3">
        <v>577.19749999999999</v>
      </c>
      <c r="X39" s="32" t="s">
        <v>85</v>
      </c>
      <c r="Y39" s="32" t="s">
        <v>85</v>
      </c>
      <c r="Z39" s="3">
        <f>490.02+112.5326</f>
        <v>602.55259999999998</v>
      </c>
      <c r="AA39" s="3">
        <f>Z39+AA44-Z44</f>
        <v>615.41460000000006</v>
      </c>
      <c r="AB39" s="3">
        <v>611.1</v>
      </c>
      <c r="AC39" s="3">
        <f>SUM(AC40:AC42)/1000</f>
        <v>611.06722000000002</v>
      </c>
      <c r="AD39" s="32" t="s">
        <v>85</v>
      </c>
      <c r="AE39" s="28">
        <f t="shared" ref="AE39:AF39" si="15">SUM(AE40:AE42)/1000</f>
        <v>610.69871999999998</v>
      </c>
      <c r="AF39" s="27">
        <f t="shared" si="15"/>
        <v>626.9330799999999</v>
      </c>
      <c r="AG39" s="27">
        <f>SUM(AG40:AG42)/1000</f>
        <v>612.06739999999991</v>
      </c>
      <c r="AH39" s="27">
        <f t="shared" si="11"/>
        <v>612.06739999999991</v>
      </c>
      <c r="AI39" s="27">
        <f>SUM(AI40:AI42)/1000</f>
        <v>616.49829999999997</v>
      </c>
      <c r="AJ39" s="27">
        <f t="shared" ref="AJ39:AM39" si="16">SUM(AJ40:AJ42)/1000</f>
        <v>615.69099999999992</v>
      </c>
      <c r="AK39" s="27">
        <f t="shared" si="16"/>
        <v>622.76511999999991</v>
      </c>
      <c r="AL39" s="27">
        <f t="shared" si="16"/>
        <v>628.29720999999995</v>
      </c>
      <c r="AM39" s="27">
        <f t="shared" si="16"/>
        <v>630.84735000000001</v>
      </c>
      <c r="AN39" s="105" t="s">
        <v>241</v>
      </c>
      <c r="AO39" s="85" t="s">
        <v>151</v>
      </c>
      <c r="AP39" s="85"/>
      <c r="AQ39" s="85"/>
    </row>
    <row r="40" spans="1:43" s="90" customFormat="1" ht="25.5" hidden="1" outlineLevel="1">
      <c r="A40" s="91"/>
      <c r="B40" s="92" t="s">
        <v>182</v>
      </c>
      <c r="C40" s="92"/>
      <c r="D40" s="93" t="s">
        <v>58</v>
      </c>
      <c r="E40" s="94"/>
      <c r="F40" s="94"/>
      <c r="G40" s="94"/>
      <c r="H40" s="95"/>
      <c r="I40" s="94"/>
      <c r="J40" s="94"/>
      <c r="K40" s="94"/>
      <c r="L40" s="94"/>
      <c r="M40" s="94"/>
      <c r="N40" s="94"/>
      <c r="O40" s="96"/>
      <c r="P40" s="96"/>
      <c r="Q40" s="96"/>
      <c r="R40" s="96"/>
      <c r="S40" s="96"/>
      <c r="T40" s="96"/>
      <c r="U40" s="96"/>
      <c r="V40" s="96"/>
      <c r="W40" s="96"/>
      <c r="X40" s="97"/>
      <c r="Y40" s="97"/>
      <c r="Z40" s="96"/>
      <c r="AA40" s="96"/>
      <c r="AB40" s="98">
        <v>5063.12</v>
      </c>
      <c r="AC40" s="99">
        <v>5063.12</v>
      </c>
      <c r="AD40" s="99"/>
      <c r="AE40" s="100">
        <f>AC40</f>
        <v>5063.12</v>
      </c>
      <c r="AF40" s="101">
        <v>5063.12</v>
      </c>
      <c r="AG40" s="99">
        <v>5084.6000000000004</v>
      </c>
      <c r="AH40" s="99">
        <f t="shared" si="11"/>
        <v>5084.6000000000004</v>
      </c>
      <c r="AI40" s="99">
        <f>AH40</f>
        <v>5084.6000000000004</v>
      </c>
      <c r="AJ40" s="101">
        <f>AG40</f>
        <v>5084.6000000000004</v>
      </c>
      <c r="AK40" s="101">
        <f>AJ40</f>
        <v>5084.6000000000004</v>
      </c>
      <c r="AL40" s="101">
        <f t="shared" ref="AL40:AM40" si="17">AK40</f>
        <v>5084.6000000000004</v>
      </c>
      <c r="AM40" s="101">
        <f t="shared" si="17"/>
        <v>5084.6000000000004</v>
      </c>
      <c r="AN40" s="102" t="s">
        <v>244</v>
      </c>
      <c r="AO40" s="104"/>
      <c r="AP40" s="104"/>
      <c r="AQ40" s="104"/>
    </row>
    <row r="41" spans="1:43" s="90" customFormat="1" ht="45.75" hidden="1" customHeight="1" outlineLevel="1">
      <c r="A41" s="91"/>
      <c r="B41" s="92" t="s">
        <v>183</v>
      </c>
      <c r="C41" s="92"/>
      <c r="D41" s="93" t="s">
        <v>58</v>
      </c>
      <c r="E41" s="94"/>
      <c r="F41" s="94"/>
      <c r="G41" s="94"/>
      <c r="H41" s="95"/>
      <c r="I41" s="94"/>
      <c r="J41" s="94"/>
      <c r="K41" s="94"/>
      <c r="L41" s="94"/>
      <c r="M41" s="94"/>
      <c r="N41" s="94"/>
      <c r="O41" s="96"/>
      <c r="P41" s="96"/>
      <c r="Q41" s="96"/>
      <c r="R41" s="96"/>
      <c r="S41" s="96"/>
      <c r="T41" s="96"/>
      <c r="U41" s="96"/>
      <c r="V41" s="96"/>
      <c r="W41" s="96"/>
      <c r="X41" s="97"/>
      <c r="Y41" s="97"/>
      <c r="Z41" s="96"/>
      <c r="AA41" s="96"/>
      <c r="AB41" s="98">
        <v>492182.1</v>
      </c>
      <c r="AC41" s="99">
        <v>492182.1</v>
      </c>
      <c r="AD41" s="99"/>
      <c r="AE41" s="100">
        <f>AC41-368.5</f>
        <v>491813.6</v>
      </c>
      <c r="AF41" s="101">
        <f>AC41+3591.1+5515.76-368.5-2872.5</f>
        <v>498047.95999999996</v>
      </c>
      <c r="AG41" s="101">
        <f>AC41+AG46</f>
        <v>489387.39999999997</v>
      </c>
      <c r="AH41" s="101">
        <f t="shared" si="11"/>
        <v>489387.39999999997</v>
      </c>
      <c r="AI41" s="162">
        <f>AH41+AI46</f>
        <v>491818.3</v>
      </c>
      <c r="AJ41" s="101">
        <f>AH41+AJ46</f>
        <v>487510.99999999994</v>
      </c>
      <c r="AK41" s="101">
        <f>AJ41+AK46</f>
        <v>489085.11999999994</v>
      </c>
      <c r="AL41" s="101">
        <f t="shared" ref="AL41:AM42" si="18">AK41+AL46</f>
        <v>489117.20999999996</v>
      </c>
      <c r="AM41" s="101">
        <f t="shared" si="18"/>
        <v>489167.35</v>
      </c>
      <c r="AN41" s="102" t="s">
        <v>243</v>
      </c>
      <c r="AO41" s="103" t="s">
        <v>185</v>
      </c>
      <c r="AP41" s="104"/>
      <c r="AQ41" s="104"/>
    </row>
    <row r="42" spans="1:43" s="90" customFormat="1" ht="46.5" hidden="1" customHeight="1" outlineLevel="1">
      <c r="A42" s="91"/>
      <c r="B42" s="92" t="s">
        <v>184</v>
      </c>
      <c r="C42" s="92"/>
      <c r="D42" s="93" t="s">
        <v>58</v>
      </c>
      <c r="E42" s="94"/>
      <c r="F42" s="94"/>
      <c r="G42" s="94"/>
      <c r="H42" s="95"/>
      <c r="I42" s="94"/>
      <c r="J42" s="94"/>
      <c r="K42" s="94"/>
      <c r="L42" s="94"/>
      <c r="M42" s="94"/>
      <c r="N42" s="94"/>
      <c r="O42" s="96"/>
      <c r="P42" s="96"/>
      <c r="Q42" s="96"/>
      <c r="R42" s="96"/>
      <c r="S42" s="96"/>
      <c r="T42" s="96"/>
      <c r="U42" s="96"/>
      <c r="V42" s="96"/>
      <c r="W42" s="96"/>
      <c r="X42" s="97"/>
      <c r="Y42" s="97"/>
      <c r="Z42" s="96"/>
      <c r="AA42" s="96"/>
      <c r="AB42" s="98">
        <v>113822</v>
      </c>
      <c r="AC42" s="99">
        <v>113822</v>
      </c>
      <c r="AD42" s="99"/>
      <c r="AE42" s="100">
        <f>AC42</f>
        <v>113822</v>
      </c>
      <c r="AF42" s="101">
        <f>AC42+10000</f>
        <v>123822</v>
      </c>
      <c r="AG42" s="101">
        <f>AC42+AG47</f>
        <v>117595.4</v>
      </c>
      <c r="AH42" s="101">
        <f t="shared" si="11"/>
        <v>117595.4</v>
      </c>
      <c r="AI42" s="101">
        <f>AH42+AI47</f>
        <v>119595.4</v>
      </c>
      <c r="AJ42" s="101">
        <f>AG42+AJ47</f>
        <v>123095.4</v>
      </c>
      <c r="AK42" s="101">
        <f>AJ42+AK47</f>
        <v>128595.4</v>
      </c>
      <c r="AL42" s="101">
        <f t="shared" si="18"/>
        <v>134095.4</v>
      </c>
      <c r="AM42" s="101">
        <f t="shared" si="18"/>
        <v>136595.4</v>
      </c>
      <c r="AN42" s="102" t="s">
        <v>242</v>
      </c>
      <c r="AO42" s="104"/>
      <c r="AP42" s="104"/>
      <c r="AQ42" s="104"/>
    </row>
    <row r="43" spans="1:43" ht="52.5" customHeight="1" collapsed="1">
      <c r="A43" s="81" t="s">
        <v>142</v>
      </c>
      <c r="B43" s="1" t="s">
        <v>128</v>
      </c>
      <c r="C43" s="159" t="s">
        <v>200</v>
      </c>
      <c r="D43" s="6" t="s">
        <v>129</v>
      </c>
      <c r="E43" s="24"/>
      <c r="F43" s="24"/>
      <c r="G43" s="24"/>
      <c r="H43" s="24"/>
      <c r="I43" s="24"/>
      <c r="J43" s="24"/>
      <c r="K43" s="24"/>
      <c r="L43" s="24"/>
      <c r="M43" s="24"/>
      <c r="N43" s="24"/>
      <c r="O43" s="3">
        <v>74.8</v>
      </c>
      <c r="P43" s="3"/>
      <c r="Q43" s="3"/>
      <c r="R43" s="3"/>
      <c r="S43" s="3"/>
      <c r="T43" s="3"/>
      <c r="U43" s="3"/>
      <c r="V43" s="3"/>
      <c r="W43" s="3">
        <v>76.477999999999994</v>
      </c>
      <c r="X43" s="32" t="s">
        <v>85</v>
      </c>
      <c r="Y43" s="32" t="s">
        <v>85</v>
      </c>
      <c r="Z43" s="3">
        <v>83</v>
      </c>
      <c r="AA43" s="3">
        <v>83</v>
      </c>
      <c r="AB43" s="3">
        <v>81.099999999999994</v>
      </c>
      <c r="AC43" s="3">
        <v>81.099999999999994</v>
      </c>
      <c r="AD43" s="32" t="s">
        <v>85</v>
      </c>
      <c r="AE43" s="28">
        <v>80.5</v>
      </c>
      <c r="AF43" s="3">
        <f>AC43-1.6576</f>
        <v>79.442399999999992</v>
      </c>
      <c r="AG43" s="3">
        <v>81.456999999999994</v>
      </c>
      <c r="AH43" s="3">
        <f t="shared" si="11"/>
        <v>81.456999999999994</v>
      </c>
      <c r="AI43" s="3" t="s">
        <v>174</v>
      </c>
      <c r="AJ43" s="3">
        <f>AG43*1.02</f>
        <v>83.08614</v>
      </c>
      <c r="AK43" s="3">
        <f>AJ43*1.02</f>
        <v>84.747862800000007</v>
      </c>
      <c r="AL43" s="3">
        <f>AK43*1.02</f>
        <v>86.442820056000002</v>
      </c>
      <c r="AM43" s="3">
        <f>AL43*1.02</f>
        <v>88.17167645712</v>
      </c>
      <c r="AN43" s="126" t="s">
        <v>196</v>
      </c>
      <c r="AO43" s="85"/>
      <c r="AP43" s="85"/>
      <c r="AQ43" s="85"/>
    </row>
    <row r="44" spans="1:43" ht="39" customHeight="1">
      <c r="A44" s="81" t="s">
        <v>47</v>
      </c>
      <c r="B44" s="1" t="s">
        <v>130</v>
      </c>
      <c r="C44" s="159" t="s">
        <v>200</v>
      </c>
      <c r="D44" s="6" t="s">
        <v>129</v>
      </c>
      <c r="E44" s="84"/>
      <c r="F44" s="24"/>
      <c r="G44" s="24"/>
      <c r="H44" s="24"/>
      <c r="I44" s="24"/>
      <c r="J44" s="24"/>
      <c r="K44" s="24"/>
      <c r="L44" s="24"/>
      <c r="M44" s="24"/>
      <c r="N44" s="24"/>
      <c r="O44" s="3">
        <f>(24425+21873)/1000</f>
        <v>46.298000000000002</v>
      </c>
      <c r="P44" s="3"/>
      <c r="Q44" s="3"/>
      <c r="R44" s="3"/>
      <c r="S44" s="3"/>
      <c r="T44" s="3"/>
      <c r="U44" s="3"/>
      <c r="V44" s="3"/>
      <c r="W44" s="3">
        <f>(W45+W46+W47)/1000</f>
        <v>15.271700000000001</v>
      </c>
      <c r="X44" s="28" t="s">
        <v>85</v>
      </c>
      <c r="Y44" s="28" t="s">
        <v>85</v>
      </c>
      <c r="Z44" s="28">
        <v>1.3380000000000001</v>
      </c>
      <c r="AA44" s="28">
        <f>1.4+6.8+6</f>
        <v>14.2</v>
      </c>
      <c r="AB44" s="28">
        <v>14.176500000000001</v>
      </c>
      <c r="AC44" s="3">
        <f>(AC45+AC46+AC47)/1000</f>
        <v>9.611600000000001</v>
      </c>
      <c r="AD44" s="32" t="s">
        <v>85</v>
      </c>
      <c r="AE44" s="28">
        <f>AE46/1000</f>
        <v>-0.36849999999999999</v>
      </c>
      <c r="AF44" s="27">
        <f>(AF45+AF46+AF47)/1000</f>
        <v>15.865860000000001</v>
      </c>
      <c r="AG44" s="3">
        <f>(AG45+AG46+AG47)/1000</f>
        <v>0.97870000000000024</v>
      </c>
      <c r="AH44" s="3">
        <f t="shared" si="11"/>
        <v>0.97870000000000024</v>
      </c>
      <c r="AI44" s="3">
        <f>(AI45+AI46+AI47)/1000</f>
        <v>4.4309000000000003</v>
      </c>
      <c r="AJ44" s="27">
        <f t="shared" ref="AJ44:AM44" si="19">(AJ45+AJ46+AJ47)/1000</f>
        <v>3.6236000000000015</v>
      </c>
      <c r="AK44" s="27">
        <f t="shared" si="19"/>
        <v>7.0741200000000006</v>
      </c>
      <c r="AL44" s="27">
        <f t="shared" si="19"/>
        <v>5.5320900000000002</v>
      </c>
      <c r="AM44" s="27">
        <f t="shared" si="19"/>
        <v>2.5501400000000003</v>
      </c>
      <c r="AN44" s="105" t="s">
        <v>240</v>
      </c>
      <c r="AO44" s="85"/>
      <c r="AP44" s="85"/>
      <c r="AQ44" s="85"/>
    </row>
    <row r="45" spans="1:43" s="90" customFormat="1" hidden="1" outlineLevel="1">
      <c r="A45" s="106"/>
      <c r="B45" s="107" t="s">
        <v>182</v>
      </c>
      <c r="C45" s="107"/>
      <c r="D45" s="108" t="s">
        <v>58</v>
      </c>
      <c r="E45" s="109"/>
      <c r="F45" s="110"/>
      <c r="G45" s="110"/>
      <c r="H45" s="110"/>
      <c r="I45" s="110"/>
      <c r="J45" s="110"/>
      <c r="K45" s="110"/>
      <c r="L45" s="110"/>
      <c r="M45" s="110"/>
      <c r="N45" s="110"/>
      <c r="O45" s="111"/>
      <c r="P45" s="111"/>
      <c r="Q45" s="111"/>
      <c r="R45" s="111"/>
      <c r="S45" s="111"/>
      <c r="T45" s="111"/>
      <c r="U45" s="111"/>
      <c r="V45" s="111"/>
      <c r="W45" s="111">
        <v>0</v>
      </c>
      <c r="X45" s="112"/>
      <c r="Y45" s="112"/>
      <c r="Z45" s="112"/>
      <c r="AA45" s="112"/>
      <c r="AB45" s="112">
        <f>5063.12-2298.8</f>
        <v>2764.3199999999997</v>
      </c>
      <c r="AC45" s="112">
        <v>0</v>
      </c>
      <c r="AD45" s="114"/>
      <c r="AE45" s="112">
        <v>0</v>
      </c>
      <c r="AF45" s="112">
        <v>0</v>
      </c>
      <c r="AG45" s="112">
        <v>0</v>
      </c>
      <c r="AH45" s="112">
        <v>0</v>
      </c>
      <c r="AI45" s="112">
        <v>0</v>
      </c>
      <c r="AJ45" s="111">
        <v>0</v>
      </c>
      <c r="AK45" s="111">
        <v>0</v>
      </c>
      <c r="AL45" s="111">
        <v>0</v>
      </c>
      <c r="AM45" s="111">
        <v>0</v>
      </c>
      <c r="AN45" s="102" t="s">
        <v>186</v>
      </c>
      <c r="AO45" s="117"/>
      <c r="AP45" s="117"/>
      <c r="AQ45" s="117"/>
    </row>
    <row r="46" spans="1:43" s="90" customFormat="1" ht="242.25" hidden="1" outlineLevel="1">
      <c r="A46" s="106"/>
      <c r="B46" s="107" t="s">
        <v>183</v>
      </c>
      <c r="C46" s="107"/>
      <c r="D46" s="108" t="s">
        <v>58</v>
      </c>
      <c r="E46" s="109"/>
      <c r="F46" s="110"/>
      <c r="G46" s="110"/>
      <c r="H46" s="110"/>
      <c r="I46" s="110"/>
      <c r="J46" s="110"/>
      <c r="K46" s="110"/>
      <c r="L46" s="110"/>
      <c r="M46" s="110"/>
      <c r="N46" s="110"/>
      <c r="O46" s="111"/>
      <c r="P46" s="111"/>
      <c r="Q46" s="111"/>
      <c r="R46" s="111"/>
      <c r="S46" s="111"/>
      <c r="T46" s="111"/>
      <c r="U46" s="111"/>
      <c r="V46" s="111"/>
      <c r="W46" s="111">
        <f>15210.7-6198</f>
        <v>9012.7000000000007</v>
      </c>
      <c r="X46" s="112"/>
      <c r="Y46" s="112"/>
      <c r="Z46" s="112"/>
      <c r="AA46" s="112"/>
      <c r="AB46" s="113">
        <f>6383.7+1354.8-4564.9</f>
        <v>3173.6000000000004</v>
      </c>
      <c r="AC46" s="113">
        <f>6383.7+1354.8-4564.9</f>
        <v>3173.6000000000004</v>
      </c>
      <c r="AD46" s="114"/>
      <c r="AE46" s="112">
        <f>-368.5</f>
        <v>-368.5</v>
      </c>
      <c r="AF46" s="115">
        <f>3591.1+5515.76-2872.5-368.5</f>
        <v>5865.8600000000006</v>
      </c>
      <c r="AG46" s="115">
        <f>5122.2-7916.9</f>
        <v>-2794.7</v>
      </c>
      <c r="AH46" s="115">
        <f>AG46</f>
        <v>-2794.7</v>
      </c>
      <c r="AI46" s="115">
        <f>4336.1-1905.2</f>
        <v>2430.9000000000005</v>
      </c>
      <c r="AJ46" s="116">
        <f>AI46+2723.4-7030.7</f>
        <v>-1876.3999999999987</v>
      </c>
      <c r="AK46" s="116">
        <f>2596.92+7059.5+3493.8+1524.9-13101</f>
        <v>1574.1200000000008</v>
      </c>
      <c r="AL46" s="116">
        <f>7130.57+2222.42-9320.9</f>
        <v>32.090000000000146</v>
      </c>
      <c r="AM46" s="116">
        <f>2222.42+2222.42-4394.7</f>
        <v>50.140000000000327</v>
      </c>
      <c r="AN46" s="102" t="s">
        <v>239</v>
      </c>
      <c r="AO46" s="117"/>
      <c r="AP46" s="117"/>
      <c r="AQ46" s="117"/>
    </row>
    <row r="47" spans="1:43" s="90" customFormat="1" ht="26.25" hidden="1" customHeight="1" outlineLevel="1">
      <c r="A47" s="106"/>
      <c r="B47" s="107" t="s">
        <v>184</v>
      </c>
      <c r="C47" s="107"/>
      <c r="D47" s="108" t="s">
        <v>58</v>
      </c>
      <c r="E47" s="109"/>
      <c r="F47" s="110"/>
      <c r="G47" s="110"/>
      <c r="H47" s="110"/>
      <c r="I47" s="110"/>
      <c r="J47" s="110"/>
      <c r="K47" s="110"/>
      <c r="L47" s="110"/>
      <c r="M47" s="110"/>
      <c r="N47" s="110"/>
      <c r="O47" s="111"/>
      <c r="P47" s="111"/>
      <c r="Q47" s="111"/>
      <c r="R47" s="111"/>
      <c r="S47" s="111"/>
      <c r="T47" s="111"/>
      <c r="U47" s="111"/>
      <c r="V47" s="111"/>
      <c r="W47" s="111">
        <v>6259</v>
      </c>
      <c r="X47" s="112"/>
      <c r="Y47" s="112"/>
      <c r="Z47" s="112"/>
      <c r="AA47" s="112"/>
      <c r="AB47" s="113">
        <v>6438</v>
      </c>
      <c r="AC47" s="113">
        <v>6438</v>
      </c>
      <c r="AD47" s="114"/>
      <c r="AE47" s="112" t="s">
        <v>174</v>
      </c>
      <c r="AF47" s="115">
        <v>10000</v>
      </c>
      <c r="AG47" s="115">
        <v>3773.4</v>
      </c>
      <c r="AH47" s="115">
        <f>AG47</f>
        <v>3773.4</v>
      </c>
      <c r="AI47" s="115">
        <v>2000</v>
      </c>
      <c r="AJ47" s="116">
        <v>5500</v>
      </c>
      <c r="AK47" s="116">
        <f>AJ47</f>
        <v>5500</v>
      </c>
      <c r="AL47" s="116">
        <f>AK47</f>
        <v>5500</v>
      </c>
      <c r="AM47" s="116">
        <v>2500</v>
      </c>
      <c r="AN47" s="102" t="s">
        <v>238</v>
      </c>
      <c r="AO47" s="117"/>
      <c r="AP47" s="117"/>
      <c r="AQ47" s="117"/>
    </row>
    <row r="48" spans="1:43" ht="90" collapsed="1">
      <c r="A48" s="81" t="s">
        <v>48</v>
      </c>
      <c r="B48" s="1" t="s">
        <v>131</v>
      </c>
      <c r="C48" s="159" t="s">
        <v>201</v>
      </c>
      <c r="D48" s="6" t="s">
        <v>155</v>
      </c>
      <c r="E48" s="24"/>
      <c r="F48" s="24"/>
      <c r="G48" s="24"/>
      <c r="H48" s="24"/>
      <c r="I48" s="24"/>
      <c r="J48" s="24"/>
      <c r="K48" s="24"/>
      <c r="L48" s="24"/>
      <c r="M48" s="24"/>
      <c r="N48" s="24"/>
      <c r="O48" s="62">
        <v>152</v>
      </c>
      <c r="P48" s="24"/>
      <c r="Q48" s="65"/>
      <c r="R48" s="24"/>
      <c r="S48" s="24"/>
      <c r="T48" s="24"/>
      <c r="U48" s="24"/>
      <c r="V48" s="24"/>
      <c r="W48" s="62">
        <v>162</v>
      </c>
      <c r="X48" s="32" t="s">
        <v>85</v>
      </c>
      <c r="Y48" s="32" t="s">
        <v>85</v>
      </c>
      <c r="Z48" s="58">
        <v>59</v>
      </c>
      <c r="AA48" s="73">
        <f>Z48+10</f>
        <v>69</v>
      </c>
      <c r="AB48" s="62">
        <f>46+68</f>
        <v>114</v>
      </c>
      <c r="AC48" s="62">
        <f t="shared" ref="AC48" si="20">AB48</f>
        <v>114</v>
      </c>
      <c r="AD48" s="32" t="s">
        <v>85</v>
      </c>
      <c r="AE48" s="58">
        <f>2+129</f>
        <v>131</v>
      </c>
      <c r="AF48" s="73">
        <v>138</v>
      </c>
      <c r="AG48" s="76">
        <f>3+134</f>
        <v>137</v>
      </c>
      <c r="AH48" s="76">
        <f>AG48</f>
        <v>137</v>
      </c>
      <c r="AI48" s="76">
        <f>4+41</f>
        <v>45</v>
      </c>
      <c r="AJ48" s="24">
        <f>AI48</f>
        <v>45</v>
      </c>
      <c r="AK48" s="24"/>
      <c r="AL48" s="24"/>
      <c r="AM48" s="24"/>
      <c r="AN48" s="105" t="s">
        <v>194</v>
      </c>
      <c r="AO48" s="85" t="s">
        <v>154</v>
      </c>
      <c r="AP48" s="85"/>
      <c r="AQ48" s="85"/>
    </row>
    <row r="49" spans="1:43" ht="192.75" customHeight="1">
      <c r="A49" s="81" t="s">
        <v>49</v>
      </c>
      <c r="B49" s="1" t="s">
        <v>133</v>
      </c>
      <c r="C49" s="159" t="s">
        <v>201</v>
      </c>
      <c r="D49" s="6" t="s">
        <v>155</v>
      </c>
      <c r="E49" s="24"/>
      <c r="F49" s="24"/>
      <c r="G49" s="24"/>
      <c r="H49" s="24"/>
      <c r="I49" s="24"/>
      <c r="J49" s="24"/>
      <c r="K49" s="24"/>
      <c r="L49" s="24"/>
      <c r="M49" s="24"/>
      <c r="N49" s="24"/>
      <c r="O49" s="62">
        <v>1793</v>
      </c>
      <c r="P49" s="24"/>
      <c r="Q49" s="65"/>
      <c r="R49" s="24"/>
      <c r="S49" s="24"/>
      <c r="T49" s="24"/>
      <c r="U49" s="24"/>
      <c r="V49" s="24"/>
      <c r="W49" s="62">
        <v>1583</v>
      </c>
      <c r="X49" s="32" t="s">
        <v>85</v>
      </c>
      <c r="Y49" s="32" t="s">
        <v>85</v>
      </c>
      <c r="Z49" s="58">
        <f>W49+59-212</f>
        <v>1430</v>
      </c>
      <c r="AA49" s="73">
        <f>Z49+10-70</f>
        <v>1370</v>
      </c>
      <c r="AB49" s="62">
        <f>1332+809</f>
        <v>2141</v>
      </c>
      <c r="AC49" s="62">
        <f>1332+809</f>
        <v>2141</v>
      </c>
      <c r="AD49" s="32" t="s">
        <v>85</v>
      </c>
      <c r="AE49" s="58">
        <f>1150+941</f>
        <v>2091</v>
      </c>
      <c r="AF49" s="58">
        <f>1150+941+3</f>
        <v>2094</v>
      </c>
      <c r="AG49" s="62">
        <f>1128+956</f>
        <v>2084</v>
      </c>
      <c r="AH49" s="62">
        <f>AG49</f>
        <v>2084</v>
      </c>
      <c r="AI49" s="75">
        <f>AH49-45-240+63</f>
        <v>1862</v>
      </c>
      <c r="AJ49" s="24">
        <f>AI49+10</f>
        <v>1872</v>
      </c>
      <c r="AK49" s="24"/>
      <c r="AL49" s="24"/>
      <c r="AM49" s="24"/>
      <c r="AN49" s="126" t="s">
        <v>235</v>
      </c>
      <c r="AO49" s="85" t="s">
        <v>154</v>
      </c>
      <c r="AP49" s="85"/>
      <c r="AQ49" s="85"/>
    </row>
    <row r="50" spans="1:43" ht="56.25" customHeight="1">
      <c r="A50" s="81" t="s">
        <v>132</v>
      </c>
      <c r="B50" s="1" t="s">
        <v>57</v>
      </c>
      <c r="C50" s="159" t="s">
        <v>200</v>
      </c>
      <c r="D50" s="6" t="s">
        <v>58</v>
      </c>
      <c r="E50" s="24"/>
      <c r="F50" s="24"/>
      <c r="G50" s="24"/>
      <c r="H50" s="24"/>
      <c r="I50" s="24"/>
      <c r="J50" s="24"/>
      <c r="K50" s="24"/>
      <c r="L50" s="24"/>
      <c r="M50" s="24"/>
      <c r="N50" s="24"/>
      <c r="O50" s="3">
        <v>23.4</v>
      </c>
      <c r="P50" s="3">
        <f t="shared" ref="P50:W50" si="21">P39/P10</f>
        <v>0</v>
      </c>
      <c r="Q50" s="3">
        <f t="shared" si="21"/>
        <v>0</v>
      </c>
      <c r="R50" s="3">
        <f t="shared" si="21"/>
        <v>0</v>
      </c>
      <c r="S50" s="3">
        <f t="shared" si="21"/>
        <v>0</v>
      </c>
      <c r="T50" s="3">
        <f t="shared" si="21"/>
        <v>0</v>
      </c>
      <c r="U50" s="3">
        <f t="shared" si="21"/>
        <v>0</v>
      </c>
      <c r="V50" s="3">
        <f t="shared" si="21"/>
        <v>0</v>
      </c>
      <c r="W50" s="3">
        <f t="shared" si="21"/>
        <v>23.814725419812685</v>
      </c>
      <c r="X50" s="32" t="s">
        <v>85</v>
      </c>
      <c r="Y50" s="32" t="s">
        <v>85</v>
      </c>
      <c r="Z50" s="3">
        <f>Z39/Z10</f>
        <v>24.290599048617267</v>
      </c>
      <c r="AA50" s="3">
        <f>AA39/AA10</f>
        <v>24.809102636458924</v>
      </c>
      <c r="AB50" s="3">
        <f>AB39/AB10</f>
        <v>24.846513519007932</v>
      </c>
      <c r="AC50" s="3">
        <f>AC39/AC10</f>
        <v>24.845180727790204</v>
      </c>
      <c r="AD50" s="32" t="s">
        <v>85</v>
      </c>
      <c r="AE50" s="3">
        <f>AE39/AE10</f>
        <v>24.830198007725148</v>
      </c>
      <c r="AF50" s="3">
        <f>AF39/AF10</f>
        <v>25.215504162812209</v>
      </c>
      <c r="AG50" s="3">
        <f>AG39/AG10</f>
        <v>24.765017196034794</v>
      </c>
      <c r="AH50" s="3">
        <f>AG50</f>
        <v>24.765017196034794</v>
      </c>
      <c r="AI50" s="3">
        <f>AI39/AI10</f>
        <v>24.944296985636253</v>
      </c>
      <c r="AJ50" s="3">
        <f>AJ39/AJ10</f>
        <v>24.757368611524385</v>
      </c>
      <c r="AK50" s="3">
        <f>AK39/AK10</f>
        <v>24.886713554987207</v>
      </c>
      <c r="AL50" s="3">
        <f>AL39/AL10</f>
        <v>25.029766950840568</v>
      </c>
      <c r="AM50" s="3">
        <f>AM39/AM10</f>
        <v>25.122350762613994</v>
      </c>
      <c r="AN50" s="126" t="s">
        <v>250</v>
      </c>
      <c r="AO50" s="85"/>
      <c r="AP50" s="85"/>
      <c r="AQ50" s="85"/>
    </row>
    <row r="51" spans="1:43" ht="28.5">
      <c r="A51" s="83" t="s">
        <v>50</v>
      </c>
      <c r="B51" s="49" t="s">
        <v>134</v>
      </c>
      <c r="C51" s="49"/>
      <c r="D51" s="6"/>
      <c r="E51" s="24"/>
      <c r="F51" s="24"/>
      <c r="G51" s="24"/>
      <c r="H51" s="24"/>
      <c r="I51" s="24"/>
      <c r="J51" s="24"/>
      <c r="K51" s="24"/>
      <c r="L51" s="24"/>
      <c r="M51" s="24"/>
      <c r="N51" s="24"/>
      <c r="O51" s="24"/>
      <c r="P51" s="24"/>
      <c r="Q51" s="65"/>
      <c r="R51" s="24"/>
      <c r="S51" s="24"/>
      <c r="T51" s="24"/>
      <c r="U51" s="24"/>
      <c r="V51" s="24"/>
      <c r="W51" s="24"/>
      <c r="X51" s="24"/>
      <c r="Y51" s="58"/>
      <c r="Z51" s="58"/>
      <c r="AA51" s="58"/>
      <c r="AB51" s="58"/>
      <c r="AC51" s="58"/>
      <c r="AD51" s="58"/>
      <c r="AE51" s="58"/>
      <c r="AF51" s="58"/>
      <c r="AG51" s="58"/>
      <c r="AH51" s="58"/>
      <c r="AI51" s="58"/>
      <c r="AJ51" s="24"/>
      <c r="AK51" s="24"/>
      <c r="AL51" s="24"/>
      <c r="AM51" s="24"/>
      <c r="AN51" s="126"/>
      <c r="AO51" s="85"/>
      <c r="AP51" s="85"/>
      <c r="AQ51" s="85"/>
    </row>
    <row r="52" spans="1:43" ht="39.75" customHeight="1">
      <c r="A52" s="178" t="s">
        <v>52</v>
      </c>
      <c r="B52" s="1" t="s">
        <v>135</v>
      </c>
      <c r="C52" s="159" t="s">
        <v>202</v>
      </c>
      <c r="D52" s="6" t="s">
        <v>141</v>
      </c>
      <c r="E52" s="24"/>
      <c r="F52" s="24"/>
      <c r="G52" s="24"/>
      <c r="H52" s="24"/>
      <c r="I52" s="24"/>
      <c r="J52" s="24"/>
      <c r="K52" s="24"/>
      <c r="L52" s="24"/>
      <c r="M52" s="24"/>
      <c r="N52" s="24"/>
      <c r="O52" s="56">
        <f>O53+O54</f>
        <v>3040724.8</v>
      </c>
      <c r="P52" s="56">
        <f t="shared" ref="P52:AF52" si="22">P53+P54</f>
        <v>0</v>
      </c>
      <c r="Q52" s="56">
        <f t="shared" si="22"/>
        <v>0</v>
      </c>
      <c r="R52" s="56">
        <f t="shared" si="22"/>
        <v>0</v>
      </c>
      <c r="S52" s="56">
        <f t="shared" si="22"/>
        <v>0</v>
      </c>
      <c r="T52" s="56">
        <f t="shared" si="22"/>
        <v>0</v>
      </c>
      <c r="U52" s="56">
        <f t="shared" si="22"/>
        <v>0</v>
      </c>
      <c r="V52" s="56">
        <f t="shared" si="22"/>
        <v>0</v>
      </c>
      <c r="W52" s="56">
        <f t="shared" si="22"/>
        <v>2561620</v>
      </c>
      <c r="X52" s="32" t="s">
        <v>85</v>
      </c>
      <c r="Y52" s="32" t="s">
        <v>85</v>
      </c>
      <c r="Z52" s="56">
        <f t="shared" si="22"/>
        <v>478169.5</v>
      </c>
      <c r="AA52" s="56">
        <f t="shared" si="22"/>
        <v>668022.5</v>
      </c>
      <c r="AB52" s="56">
        <f t="shared" si="22"/>
        <v>680298.5</v>
      </c>
      <c r="AC52" s="78">
        <v>676101</v>
      </c>
      <c r="AD52" s="30" t="s">
        <v>85</v>
      </c>
      <c r="AE52" s="56">
        <f t="shared" si="22"/>
        <v>490163.60000000003</v>
      </c>
      <c r="AF52" s="56">
        <f t="shared" si="22"/>
        <v>830544.1</v>
      </c>
      <c r="AG52" s="78">
        <v>812028</v>
      </c>
      <c r="AH52" s="78">
        <f>AG52</f>
        <v>812028</v>
      </c>
      <c r="AI52" s="78">
        <v>525647.69999999995</v>
      </c>
      <c r="AJ52" s="78">
        <v>829498.6</v>
      </c>
      <c r="AK52" s="78">
        <v>863965.7</v>
      </c>
      <c r="AL52" s="78">
        <v>839352.5</v>
      </c>
      <c r="AM52" s="56">
        <v>764794.5</v>
      </c>
      <c r="AN52" s="183" t="s">
        <v>248</v>
      </c>
      <c r="AO52" s="85" t="s">
        <v>173</v>
      </c>
      <c r="AP52" s="85"/>
      <c r="AQ52" s="85"/>
    </row>
    <row r="53" spans="1:43" ht="39.75" customHeight="1">
      <c r="A53" s="181"/>
      <c r="B53" s="1" t="s">
        <v>136</v>
      </c>
      <c r="C53" s="159" t="s">
        <v>202</v>
      </c>
      <c r="D53" s="6" t="s">
        <v>141</v>
      </c>
      <c r="E53" s="24"/>
      <c r="F53" s="24"/>
      <c r="G53" s="24"/>
      <c r="H53" s="24"/>
      <c r="I53" s="24"/>
      <c r="J53" s="24"/>
      <c r="K53" s="24"/>
      <c r="L53" s="24"/>
      <c r="M53" s="24"/>
      <c r="N53" s="24"/>
      <c r="O53" s="56">
        <v>638507.30000000005</v>
      </c>
      <c r="P53" s="80"/>
      <c r="Q53" s="80"/>
      <c r="R53" s="80"/>
      <c r="S53" s="80"/>
      <c r="T53" s="80"/>
      <c r="U53" s="80"/>
      <c r="V53" s="80"/>
      <c r="W53" s="56">
        <v>667658</v>
      </c>
      <c r="X53" s="32" t="s">
        <v>85</v>
      </c>
      <c r="Y53" s="32" t="s">
        <v>85</v>
      </c>
      <c r="Z53" s="79">
        <v>457550.5</v>
      </c>
      <c r="AA53" s="56">
        <v>628545</v>
      </c>
      <c r="AB53" s="77">
        <v>635067.80000000005</v>
      </c>
      <c r="AC53" s="9">
        <f t="shared" ref="AC53:AC60" si="23">AB53</f>
        <v>635067.80000000005</v>
      </c>
      <c r="AD53" s="30" t="s">
        <v>85</v>
      </c>
      <c r="AE53" s="30">
        <v>414268.9</v>
      </c>
      <c r="AF53" s="56">
        <v>586392</v>
      </c>
      <c r="AG53" s="78">
        <v>588485</v>
      </c>
      <c r="AH53" s="78">
        <f>AG53</f>
        <v>588485</v>
      </c>
      <c r="AI53" s="78">
        <v>427959.1</v>
      </c>
      <c r="AJ53" s="78">
        <v>603534.5</v>
      </c>
      <c r="AK53" s="78">
        <v>616827.80000000005</v>
      </c>
      <c r="AL53" s="78">
        <v>628588.69999999995</v>
      </c>
      <c r="AM53" s="80">
        <v>640998</v>
      </c>
      <c r="AN53" s="184"/>
      <c r="AO53" s="85" t="s">
        <v>173</v>
      </c>
      <c r="AP53" s="85"/>
      <c r="AQ53" s="85"/>
    </row>
    <row r="54" spans="1:43" ht="45" customHeight="1">
      <c r="A54" s="182"/>
      <c r="B54" s="1" t="s">
        <v>137</v>
      </c>
      <c r="C54" s="159" t="s">
        <v>202</v>
      </c>
      <c r="D54" s="6" t="s">
        <v>141</v>
      </c>
      <c r="E54" s="24"/>
      <c r="F54" s="24"/>
      <c r="G54" s="24"/>
      <c r="H54" s="24"/>
      <c r="I54" s="24"/>
      <c r="J54" s="24"/>
      <c r="K54" s="24"/>
      <c r="L54" s="24"/>
      <c r="M54" s="24"/>
      <c r="N54" s="24"/>
      <c r="O54" s="80">
        <v>2402217.5</v>
      </c>
      <c r="P54" s="80"/>
      <c r="Q54" s="80"/>
      <c r="R54" s="80"/>
      <c r="S54" s="80"/>
      <c r="T54" s="80"/>
      <c r="U54" s="80"/>
      <c r="V54" s="80"/>
      <c r="W54" s="80">
        <v>1893962</v>
      </c>
      <c r="X54" s="32" t="s">
        <v>85</v>
      </c>
      <c r="Y54" s="32" t="s">
        <v>85</v>
      </c>
      <c r="Z54" s="79">
        <v>20619</v>
      </c>
      <c r="AA54" s="79">
        <f>Z54+(23000-4577)+(1310.9-1075.4)+200</f>
        <v>39477.5</v>
      </c>
      <c r="AB54" s="79">
        <v>45230.7</v>
      </c>
      <c r="AC54" s="9">
        <f>AC52-AC53</f>
        <v>41033.199999999953</v>
      </c>
      <c r="AD54" s="30" t="s">
        <v>85</v>
      </c>
      <c r="AE54" s="30">
        <v>75894.7</v>
      </c>
      <c r="AF54" s="79">
        <f>248435.4-4283.3</f>
        <v>244152.1</v>
      </c>
      <c r="AG54" s="9">
        <f t="shared" ref="AG54" si="24">AG52-AG53</f>
        <v>223543</v>
      </c>
      <c r="AH54" s="9">
        <f>AG54</f>
        <v>223543</v>
      </c>
      <c r="AI54" s="9">
        <f t="shared" ref="AI54:AM54" si="25">AI52-AI53</f>
        <v>97688.599999999977</v>
      </c>
      <c r="AJ54" s="9">
        <f t="shared" si="25"/>
        <v>225964.09999999998</v>
      </c>
      <c r="AK54" s="9">
        <f t="shared" si="25"/>
        <v>247137.89999999991</v>
      </c>
      <c r="AL54" s="9">
        <f t="shared" si="25"/>
        <v>210763.80000000005</v>
      </c>
      <c r="AM54" s="9">
        <f t="shared" si="25"/>
        <v>123796.5</v>
      </c>
      <c r="AN54" s="185"/>
      <c r="AO54" s="85" t="s">
        <v>173</v>
      </c>
      <c r="AP54" s="85"/>
      <c r="AQ54" s="85"/>
    </row>
    <row r="55" spans="1:43" ht="144.75" customHeight="1">
      <c r="A55" s="81" t="s">
        <v>55</v>
      </c>
      <c r="B55" s="1" t="s">
        <v>138</v>
      </c>
      <c r="C55" s="159" t="s">
        <v>202</v>
      </c>
      <c r="D55" s="6" t="s">
        <v>141</v>
      </c>
      <c r="E55" s="24"/>
      <c r="F55" s="24"/>
      <c r="G55" s="24"/>
      <c r="H55" s="24"/>
      <c r="I55" s="24"/>
      <c r="J55" s="24"/>
      <c r="K55" s="24"/>
      <c r="L55" s="24"/>
      <c r="M55" s="24"/>
      <c r="N55" s="24"/>
      <c r="O55" s="80">
        <f t="shared" ref="O55:W55" si="26">O56/O10/1000</f>
        <v>7.9050354532009299</v>
      </c>
      <c r="P55" s="80">
        <f t="shared" si="26"/>
        <v>0</v>
      </c>
      <c r="Q55" s="80">
        <f t="shared" si="26"/>
        <v>0</v>
      </c>
      <c r="R55" s="80">
        <f t="shared" si="26"/>
        <v>0</v>
      </c>
      <c r="S55" s="80">
        <f t="shared" si="26"/>
        <v>0</v>
      </c>
      <c r="T55" s="80">
        <f t="shared" si="26"/>
        <v>0</v>
      </c>
      <c r="U55" s="80">
        <f t="shared" si="26"/>
        <v>0</v>
      </c>
      <c r="V55" s="80">
        <f t="shared" si="26"/>
        <v>0</v>
      </c>
      <c r="W55" s="80">
        <f t="shared" si="26"/>
        <v>7.9670300367207174</v>
      </c>
      <c r="X55" s="30" t="s">
        <v>85</v>
      </c>
      <c r="Y55" s="30" t="s">
        <v>85</v>
      </c>
      <c r="Z55" s="80">
        <f>Z56/Z10/1000</f>
        <v>5.4761360961057806</v>
      </c>
      <c r="AA55" s="80">
        <f>AA56/AA10/1000</f>
        <v>7.7686156575022167</v>
      </c>
      <c r="AB55" s="80">
        <f>AB56/AB10/1000</f>
        <v>6.6424857897946739</v>
      </c>
      <c r="AC55" s="3">
        <f t="shared" si="23"/>
        <v>6.6424857897946739</v>
      </c>
      <c r="AD55" s="32" t="s">
        <v>85</v>
      </c>
      <c r="AE55" s="80">
        <f>AE56/AE10/1000</f>
        <v>5.5473051839804839</v>
      </c>
      <c r="AF55" s="80">
        <f>AF56/AF10/1000</f>
        <v>7.3756051160358771</v>
      </c>
      <c r="AG55" s="80">
        <f>AG56/AG10/1000</f>
        <v>7.2057259154359699</v>
      </c>
      <c r="AH55" s="80">
        <f>AG55</f>
        <v>7.2057259154359699</v>
      </c>
      <c r="AI55" s="80">
        <f>AI56/AI10/1000</f>
        <v>5.7976856160226582</v>
      </c>
      <c r="AJ55" s="80">
        <f>AJ56/AJ10/1000</f>
        <v>8.0128754674494349</v>
      </c>
      <c r="AK55" s="80">
        <f>AK56/AK10/1000</f>
        <v>7.9649736253196926</v>
      </c>
      <c r="AL55" s="80">
        <f>AL56/AL10/1000</f>
        <v>7.9443629989642259</v>
      </c>
      <c r="AM55" s="80">
        <f>AM56/AM10/1000</f>
        <v>7.9454979889291542</v>
      </c>
      <c r="AN55" s="183" t="s">
        <v>249</v>
      </c>
      <c r="AO55" s="85" t="s">
        <v>170</v>
      </c>
      <c r="AP55" s="85"/>
      <c r="AQ55" s="85"/>
    </row>
    <row r="56" spans="1:43" ht="43.5" hidden="1" customHeight="1" outlineLevel="1">
      <c r="A56" s="81"/>
      <c r="B56" s="1" t="s">
        <v>139</v>
      </c>
      <c r="C56" s="1"/>
      <c r="D56" s="6" t="s">
        <v>141</v>
      </c>
      <c r="E56" s="24"/>
      <c r="F56" s="24"/>
      <c r="G56" s="24"/>
      <c r="H56" s="24"/>
      <c r="I56" s="24"/>
      <c r="J56" s="24"/>
      <c r="K56" s="24"/>
      <c r="L56" s="24"/>
      <c r="M56" s="24"/>
      <c r="N56" s="24"/>
      <c r="O56" s="56">
        <v>187072.66399999999</v>
      </c>
      <c r="P56" s="80"/>
      <c r="Q56" s="80"/>
      <c r="R56" s="80"/>
      <c r="S56" s="80"/>
      <c r="T56" s="80"/>
      <c r="U56" s="80"/>
      <c r="V56" s="80"/>
      <c r="W56" s="56">
        <v>193096.90700000001</v>
      </c>
      <c r="X56" s="30" t="s">
        <v>85</v>
      </c>
      <c r="Y56" s="30" t="s">
        <v>85</v>
      </c>
      <c r="Z56" s="79">
        <v>135841.03200000001</v>
      </c>
      <c r="AA56" s="56">
        <v>192708.28</v>
      </c>
      <c r="AB56" s="56">
        <v>163371.93799999999</v>
      </c>
      <c r="AC56" s="9">
        <f t="shared" si="23"/>
        <v>163371.93799999999</v>
      </c>
      <c r="AD56" s="30" t="s">
        <v>85</v>
      </c>
      <c r="AE56" s="30">
        <v>136435.97099999999</v>
      </c>
      <c r="AF56" s="56">
        <v>183379.67</v>
      </c>
      <c r="AG56" s="147">
        <v>178089.516</v>
      </c>
      <c r="AH56" s="147">
        <f>AG56</f>
        <v>178089.516</v>
      </c>
      <c r="AI56" s="56">
        <v>143289.79999999999</v>
      </c>
      <c r="AJ56" s="56">
        <v>199272.2</v>
      </c>
      <c r="AK56" s="56">
        <v>199315.5</v>
      </c>
      <c r="AL56" s="56">
        <v>199419.4</v>
      </c>
      <c r="AM56" s="56">
        <v>199519.4</v>
      </c>
      <c r="AN56" s="185"/>
      <c r="AO56" s="85" t="s">
        <v>170</v>
      </c>
      <c r="AP56" s="85"/>
      <c r="AQ56" s="85"/>
    </row>
    <row r="57" spans="1:43" collapsed="1">
      <c r="A57" s="81" t="s">
        <v>140</v>
      </c>
      <c r="B57" s="49" t="s">
        <v>51</v>
      </c>
      <c r="C57" s="49"/>
      <c r="D57" s="6"/>
      <c r="E57" s="58"/>
      <c r="F57" s="44"/>
      <c r="G57" s="44"/>
      <c r="H57" s="44"/>
      <c r="I57" s="44"/>
      <c r="J57" s="44"/>
      <c r="K57" s="44"/>
      <c r="L57" s="44"/>
      <c r="M57" s="44"/>
      <c r="N57" s="44"/>
      <c r="O57" s="44"/>
      <c r="P57" s="44"/>
      <c r="Q57" s="44"/>
      <c r="R57" s="44"/>
      <c r="S57" s="44"/>
      <c r="T57" s="44"/>
      <c r="U57" s="44"/>
      <c r="V57" s="44"/>
      <c r="W57" s="44"/>
      <c r="X57" s="44"/>
      <c r="Y57" s="44"/>
      <c r="Z57" s="44"/>
      <c r="AA57" s="44"/>
      <c r="AB57" s="44"/>
      <c r="AC57" s="44"/>
      <c r="AD57" s="44"/>
      <c r="AE57" s="44"/>
      <c r="AF57" s="44"/>
      <c r="AG57" s="44"/>
      <c r="AH57" s="44"/>
      <c r="AI57" s="44"/>
      <c r="AJ57" s="44"/>
      <c r="AK57" s="44"/>
      <c r="AL57" s="44"/>
      <c r="AM57" s="44"/>
      <c r="AN57" s="135"/>
      <c r="AO57" s="85"/>
      <c r="AP57" s="85"/>
      <c r="AQ57" s="85"/>
    </row>
    <row r="58" spans="1:43" ht="30">
      <c r="A58" s="81" t="s">
        <v>146</v>
      </c>
      <c r="B58" s="1" t="s">
        <v>53</v>
      </c>
      <c r="C58" s="159" t="s">
        <v>203</v>
      </c>
      <c r="D58" s="6" t="s">
        <v>54</v>
      </c>
      <c r="E58" s="8">
        <f>42.6572*100</f>
        <v>4265.72</v>
      </c>
      <c r="F58" s="8">
        <f>42.6572*100</f>
        <v>4265.72</v>
      </c>
      <c r="G58" s="8">
        <f t="shared" ref="G58:K58" si="27">42.6572*100</f>
        <v>4265.72</v>
      </c>
      <c r="H58" s="8">
        <f t="shared" si="27"/>
        <v>4265.72</v>
      </c>
      <c r="I58" s="8">
        <v>4265.7</v>
      </c>
      <c r="J58" s="8">
        <v>4265.7</v>
      </c>
      <c r="K58" s="8">
        <f t="shared" si="27"/>
        <v>4265.72</v>
      </c>
      <c r="L58" s="8">
        <v>4498</v>
      </c>
      <c r="M58" s="8">
        <v>4498</v>
      </c>
      <c r="N58" s="8">
        <v>4498</v>
      </c>
      <c r="O58" s="56">
        <v>4497.6454999999996</v>
      </c>
      <c r="P58" s="56">
        <v>4498</v>
      </c>
      <c r="Q58" s="56">
        <f>L58</f>
        <v>4498</v>
      </c>
      <c r="R58" s="56">
        <v>4498</v>
      </c>
      <c r="S58" s="56">
        <v>4498</v>
      </c>
      <c r="T58" s="56">
        <v>4498</v>
      </c>
      <c r="U58" s="56">
        <v>4498</v>
      </c>
      <c r="V58" s="56">
        <v>4498</v>
      </c>
      <c r="W58" s="56">
        <v>4497.6454999999996</v>
      </c>
      <c r="X58" s="56">
        <f>4497.6455+15.1842</f>
        <v>4512.8296999999993</v>
      </c>
      <c r="Y58" s="56">
        <f>4497.6455+15.1842</f>
        <v>4512.8296999999993</v>
      </c>
      <c r="Z58" s="56">
        <f t="shared" ref="Z58:AA58" si="28">4497.6455+15.1842</f>
        <v>4512.8296999999993</v>
      </c>
      <c r="AA58" s="56">
        <f t="shared" si="28"/>
        <v>4512.8296999999993</v>
      </c>
      <c r="AB58" s="87">
        <f>(44.976455+0.151842)*100</f>
        <v>4512.8297000000002</v>
      </c>
      <c r="AC58" s="3">
        <f t="shared" si="23"/>
        <v>4512.8297000000002</v>
      </c>
      <c r="AD58" s="75">
        <f>(44.976455+0.151842)*100</f>
        <v>4512.8297000000002</v>
      </c>
      <c r="AE58" s="75">
        <f>(44.976455+0.151842)*100</f>
        <v>4512.8297000000002</v>
      </c>
      <c r="AF58" s="75">
        <f>(44.976455+0.151842)*100</f>
        <v>4512.8297000000002</v>
      </c>
      <c r="AG58" s="75">
        <f>AC58</f>
        <v>4512.8297000000002</v>
      </c>
      <c r="AH58" s="75">
        <f>AG58</f>
        <v>4512.8297000000002</v>
      </c>
      <c r="AI58" s="75">
        <f>AH58</f>
        <v>4512.8297000000002</v>
      </c>
      <c r="AJ58" s="56">
        <f>AF58</f>
        <v>4512.8297000000002</v>
      </c>
      <c r="AK58" s="56">
        <f>AJ58</f>
        <v>4512.8297000000002</v>
      </c>
      <c r="AL58" s="56">
        <f>AK58</f>
        <v>4512.8297000000002</v>
      </c>
      <c r="AM58" s="56">
        <f>AL58</f>
        <v>4512.8297000000002</v>
      </c>
      <c r="AN58" s="136" t="s">
        <v>171</v>
      </c>
      <c r="AO58" s="85" t="s">
        <v>172</v>
      </c>
      <c r="AP58" s="85"/>
      <c r="AQ58" s="85"/>
    </row>
    <row r="59" spans="1:43" ht="45">
      <c r="A59" s="81" t="s">
        <v>147</v>
      </c>
      <c r="B59" s="1" t="s">
        <v>56</v>
      </c>
      <c r="C59" s="159" t="s">
        <v>203</v>
      </c>
      <c r="D59" s="6" t="s">
        <v>86</v>
      </c>
      <c r="E59" s="26">
        <f>2.809</f>
        <v>2.8090000000000002</v>
      </c>
      <c r="F59" s="26">
        <f>2.967</f>
        <v>2.9670000000000001</v>
      </c>
      <c r="G59" s="27">
        <v>3.1904034800000001</v>
      </c>
      <c r="H59" s="27">
        <v>3.1904034800000001</v>
      </c>
      <c r="I59" s="27" t="s">
        <v>84</v>
      </c>
      <c r="J59" s="27" t="s">
        <v>87</v>
      </c>
      <c r="K59" s="26">
        <f>G59*1.05</f>
        <v>3.3499236540000004</v>
      </c>
      <c r="L59" s="26">
        <v>3.5475530000000002</v>
      </c>
      <c r="M59" s="26">
        <v>3.5475530000000002</v>
      </c>
      <c r="N59" s="26">
        <v>3.5475530000000002</v>
      </c>
      <c r="O59" s="148">
        <v>3.5475530000000002</v>
      </c>
      <c r="P59" s="149">
        <f>M59+0.031653</f>
        <v>3.5792060000000001</v>
      </c>
      <c r="Q59" s="149">
        <v>3.65</v>
      </c>
      <c r="R59" s="149">
        <v>3.65</v>
      </c>
      <c r="S59" s="149">
        <v>3.7288709999999998</v>
      </c>
      <c r="T59" s="149">
        <f>S59</f>
        <v>3.7288709999999998</v>
      </c>
      <c r="U59" s="149" t="s">
        <v>113</v>
      </c>
      <c r="V59" s="149">
        <v>3.7288709999999998</v>
      </c>
      <c r="W59" s="87">
        <f>0.827737+2.877744</f>
        <v>3.7054809999999998</v>
      </c>
      <c r="X59" s="28" t="s">
        <v>85</v>
      </c>
      <c r="Y59" s="75">
        <f>0.869124+2.964076</f>
        <v>3.8331999999999997</v>
      </c>
      <c r="Z59" s="28" t="s">
        <v>85</v>
      </c>
      <c r="AA59" s="87">
        <f>0.869124+2.964076</f>
        <v>3.8331999999999997</v>
      </c>
      <c r="AB59" s="87">
        <f>0.869124+2.964076</f>
        <v>3.8331999999999997</v>
      </c>
      <c r="AC59" s="150">
        <f>2.9297+0.76446</f>
        <v>3.6941600000000001</v>
      </c>
      <c r="AD59" s="32" t="s">
        <v>85</v>
      </c>
      <c r="AE59" s="32">
        <v>2.7</v>
      </c>
      <c r="AF59" s="87">
        <v>2.7</v>
      </c>
      <c r="AG59" s="150">
        <f>2.9107+0.7554</f>
        <v>3.6660999999999997</v>
      </c>
      <c r="AH59" s="150">
        <f>AG59</f>
        <v>3.6660999999999997</v>
      </c>
      <c r="AI59" s="32" t="s">
        <v>85</v>
      </c>
      <c r="AJ59" s="150">
        <f>AG59*1.01</f>
        <v>3.7027609999999997</v>
      </c>
      <c r="AK59" s="150">
        <f>AJ59*1.01</f>
        <v>3.7397886099999997</v>
      </c>
      <c r="AL59" s="150">
        <f t="shared" ref="AL59:AM59" si="29">AK59*1.01</f>
        <v>3.7771864960999997</v>
      </c>
      <c r="AM59" s="150">
        <f t="shared" si="29"/>
        <v>3.8149583610609996</v>
      </c>
      <c r="AN59" s="151" t="s">
        <v>233</v>
      </c>
      <c r="AO59" s="140" t="s">
        <v>234</v>
      </c>
      <c r="AP59" s="85"/>
      <c r="AQ59" s="85"/>
    </row>
    <row r="60" spans="1:43" ht="114.75">
      <c r="A60" s="81" t="s">
        <v>148</v>
      </c>
      <c r="B60" s="1" t="s">
        <v>143</v>
      </c>
      <c r="C60" s="159" t="s">
        <v>200</v>
      </c>
      <c r="D60" s="6" t="s">
        <v>144</v>
      </c>
      <c r="E60" s="26"/>
      <c r="F60" s="26"/>
      <c r="G60" s="27"/>
      <c r="H60" s="27"/>
      <c r="I60" s="27"/>
      <c r="J60" s="27"/>
      <c r="K60" s="26"/>
      <c r="L60" s="26"/>
      <c r="M60" s="26"/>
      <c r="N60" s="26"/>
      <c r="O60" s="149">
        <v>43.8</v>
      </c>
      <c r="P60" s="26"/>
      <c r="Q60" s="26"/>
      <c r="R60" s="26"/>
      <c r="S60" s="26"/>
      <c r="T60" s="26"/>
      <c r="U60" s="26"/>
      <c r="V60" s="26"/>
      <c r="W60" s="75">
        <f>O60-5.4-0.6</f>
        <v>37.799999999999997</v>
      </c>
      <c r="X60" s="28">
        <f>W60</f>
        <v>37.799999999999997</v>
      </c>
      <c r="Y60" s="54"/>
      <c r="Z60" s="56">
        <v>43.1</v>
      </c>
      <c r="AA60" s="75">
        <v>44.482999999999997</v>
      </c>
      <c r="AB60" s="75">
        <v>43.540999999999997</v>
      </c>
      <c r="AC60" s="3">
        <f t="shared" si="23"/>
        <v>43.540999999999997</v>
      </c>
      <c r="AD60" s="75">
        <v>43.540999999999997</v>
      </c>
      <c r="AE60" s="75">
        <v>43.5</v>
      </c>
      <c r="AF60" s="75">
        <f t="shared" ref="AF60" si="30">AB60</f>
        <v>43.540999999999997</v>
      </c>
      <c r="AG60" s="3">
        <f t="shared" ref="AG60" si="31">AF60</f>
        <v>43.540999999999997</v>
      </c>
      <c r="AH60" s="3">
        <f>AG60</f>
        <v>43.540999999999997</v>
      </c>
      <c r="AI60" s="3">
        <v>40.527999999999999</v>
      </c>
      <c r="AJ60" s="75">
        <f>AI60</f>
        <v>40.527999999999999</v>
      </c>
      <c r="AK60" s="3">
        <f>AJ60</f>
        <v>40.527999999999999</v>
      </c>
      <c r="AL60" s="3"/>
      <c r="AM60" s="3"/>
      <c r="AN60" s="151" t="s">
        <v>245</v>
      </c>
      <c r="AO60" s="85"/>
      <c r="AP60" s="85"/>
      <c r="AQ60" s="85"/>
    </row>
    <row r="61" spans="1:43" ht="196.5" customHeight="1">
      <c r="A61" s="81" t="s">
        <v>149</v>
      </c>
      <c r="B61" s="1" t="s">
        <v>145</v>
      </c>
      <c r="C61" s="159" t="s">
        <v>200</v>
      </c>
      <c r="D61" s="6" t="s">
        <v>144</v>
      </c>
      <c r="E61" s="26"/>
      <c r="F61" s="26"/>
      <c r="G61" s="27"/>
      <c r="H61" s="27"/>
      <c r="I61" s="27"/>
      <c r="J61" s="27"/>
      <c r="K61" s="26"/>
      <c r="L61" s="26"/>
      <c r="M61" s="26"/>
      <c r="N61" s="26"/>
      <c r="O61" s="75">
        <v>4.7</v>
      </c>
      <c r="P61" s="26"/>
      <c r="Q61" s="26"/>
      <c r="R61" s="26"/>
      <c r="S61" s="26"/>
      <c r="T61" s="26"/>
      <c r="U61" s="26"/>
      <c r="V61" s="26"/>
      <c r="W61" s="75">
        <v>3.6</v>
      </c>
      <c r="X61" s="28">
        <f>W61</f>
        <v>3.6</v>
      </c>
      <c r="Y61" s="54"/>
      <c r="Z61" s="56">
        <v>3.6</v>
      </c>
      <c r="AA61" s="75">
        <v>6.8</v>
      </c>
      <c r="AB61" s="75">
        <v>6.6790000000000003</v>
      </c>
      <c r="AC61" s="75">
        <v>6.6790000000000003</v>
      </c>
      <c r="AD61" s="75">
        <v>6.6790000000000003</v>
      </c>
      <c r="AE61" s="75">
        <v>6.6790000000000003</v>
      </c>
      <c r="AF61" s="87">
        <v>6.6790000000000003</v>
      </c>
      <c r="AG61" s="152">
        <f>AC61+1.119-0.415</f>
        <v>7.383</v>
      </c>
      <c r="AH61" s="152">
        <f>AG61</f>
        <v>7.383</v>
      </c>
      <c r="AI61" s="152">
        <v>7.2</v>
      </c>
      <c r="AJ61" s="152">
        <f>AI61</f>
        <v>7.2</v>
      </c>
      <c r="AK61" s="152">
        <f t="shared" ref="AK61" si="32">AJ61</f>
        <v>7.2</v>
      </c>
      <c r="AL61" s="152"/>
      <c r="AM61" s="152"/>
      <c r="AN61" s="126" t="s">
        <v>246</v>
      </c>
      <c r="AO61" s="85"/>
      <c r="AP61" s="85"/>
      <c r="AQ61" s="85"/>
    </row>
    <row r="62" spans="1:43">
      <c r="A62" s="7"/>
      <c r="B62" s="163" t="s">
        <v>217</v>
      </c>
      <c r="C62" s="163"/>
      <c r="D62" s="66"/>
      <c r="E62" s="11"/>
      <c r="F62" s="12"/>
      <c r="G62" s="10"/>
      <c r="H62" s="10"/>
      <c r="I62" s="10"/>
      <c r="J62" s="10"/>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53"/>
      <c r="AO62" s="85"/>
      <c r="AP62" s="85"/>
      <c r="AQ62" s="85"/>
    </row>
    <row r="63" spans="1:43">
      <c r="A63" s="7"/>
      <c r="B63" s="163" t="s">
        <v>218</v>
      </c>
      <c r="C63" s="163"/>
      <c r="D63" s="66"/>
      <c r="E63" s="11"/>
      <c r="F63" s="12"/>
      <c r="G63" s="10"/>
      <c r="H63" s="10"/>
      <c r="I63" s="10"/>
      <c r="J63" s="10"/>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53"/>
      <c r="AO63" s="85"/>
      <c r="AP63" s="85"/>
      <c r="AQ63" s="85"/>
    </row>
    <row r="64" spans="1:43">
      <c r="A64" s="7"/>
      <c r="B64" s="154"/>
      <c r="C64" s="154"/>
      <c r="D64" s="66"/>
      <c r="E64" s="11"/>
      <c r="F64" s="12"/>
      <c r="G64" s="10"/>
      <c r="H64" s="10"/>
      <c r="I64" s="10"/>
      <c r="J64" s="10"/>
      <c r="K64" s="12"/>
      <c r="L64" s="12"/>
      <c r="M64" s="12"/>
      <c r="N64" s="12"/>
      <c r="O64" s="12"/>
      <c r="P64" s="12"/>
      <c r="Q64" s="12"/>
      <c r="R64" s="12"/>
      <c r="S64" s="12"/>
      <c r="T64" s="12"/>
      <c r="U64" s="12"/>
      <c r="V64" s="12"/>
      <c r="W64" s="12"/>
      <c r="X64" s="12"/>
      <c r="Y64" s="12"/>
      <c r="Z64" s="12"/>
      <c r="AA64" s="12"/>
      <c r="AB64" s="12"/>
      <c r="AC64" s="12"/>
      <c r="AD64" s="12"/>
      <c r="AE64" s="12"/>
      <c r="AF64" s="12"/>
      <c r="AG64" s="12"/>
      <c r="AH64" s="12"/>
      <c r="AI64" s="12"/>
      <c r="AJ64" s="12"/>
      <c r="AK64" s="12"/>
      <c r="AL64" s="12"/>
      <c r="AM64" s="12"/>
      <c r="AN64" s="153"/>
      <c r="AO64" s="85"/>
      <c r="AP64" s="85"/>
      <c r="AQ64" s="85"/>
    </row>
    <row r="65" spans="1:79">
      <c r="A65" s="173" t="s">
        <v>68</v>
      </c>
      <c r="B65" s="174"/>
      <c r="C65" s="164"/>
      <c r="D65" s="7"/>
      <c r="E65" s="155"/>
      <c r="AI65" s="18"/>
      <c r="AJ65" s="18"/>
      <c r="AK65" s="18"/>
      <c r="AL65" s="18"/>
      <c r="AM65" s="18"/>
      <c r="AN65" s="153"/>
      <c r="AO65" s="85"/>
      <c r="AP65" s="85"/>
      <c r="AQ65" s="85"/>
    </row>
    <row r="66" spans="1:79" hidden="1">
      <c r="A66" s="5" t="s">
        <v>59</v>
      </c>
    </row>
    <row r="67" spans="1:79" ht="45" hidden="1">
      <c r="B67" s="67" t="s">
        <v>60</v>
      </c>
      <c r="C67" s="67"/>
    </row>
    <row r="68" spans="1:79" ht="30" hidden="1">
      <c r="B68" s="156" t="s">
        <v>61</v>
      </c>
      <c r="C68" s="156"/>
    </row>
    <row r="69" spans="1:79" ht="60" hidden="1">
      <c r="B69" s="68" t="s">
        <v>62</v>
      </c>
      <c r="C69" s="67"/>
    </row>
    <row r="70" spans="1:79" ht="45" hidden="1">
      <c r="B70" s="69" t="s">
        <v>63</v>
      </c>
      <c r="C70" s="67"/>
    </row>
    <row r="71" spans="1:79" ht="28.5" hidden="1" customHeight="1">
      <c r="B71" s="67" t="s">
        <v>64</v>
      </c>
      <c r="C71" s="67"/>
    </row>
    <row r="72" spans="1:79" s="157" customFormat="1">
      <c r="A72" s="5"/>
      <c r="B72" s="35"/>
      <c r="C72" s="35"/>
      <c r="D72" s="70"/>
      <c r="E72" s="25"/>
      <c r="F72" s="25"/>
      <c r="G72" s="25"/>
      <c r="H72" s="25"/>
      <c r="I72" s="25"/>
      <c r="J72" s="25"/>
      <c r="K72" s="25"/>
      <c r="L72" s="25"/>
      <c r="M72" s="25"/>
      <c r="N72" s="25"/>
      <c r="O72" s="25"/>
      <c r="P72" s="25"/>
      <c r="Q72" s="18"/>
      <c r="R72" s="18"/>
      <c r="S72" s="25"/>
      <c r="T72" s="18"/>
      <c r="U72" s="18"/>
      <c r="V72" s="18"/>
      <c r="W72" s="18"/>
      <c r="X72" s="18"/>
      <c r="Y72" s="18"/>
      <c r="Z72" s="18"/>
      <c r="AA72" s="18"/>
      <c r="AB72" s="18"/>
      <c r="AC72" s="18"/>
      <c r="AD72" s="18"/>
      <c r="AE72" s="18"/>
      <c r="AF72" s="18"/>
      <c r="AG72" s="18"/>
      <c r="AH72" s="18"/>
      <c r="AI72" s="158"/>
      <c r="AJ72" s="158"/>
      <c r="AK72" s="158"/>
      <c r="AL72" s="158"/>
      <c r="AM72" s="158"/>
      <c r="AN72" s="119"/>
      <c r="AO72" s="34"/>
      <c r="AP72" s="34"/>
      <c r="AQ72" s="34"/>
      <c r="AR72" s="86"/>
      <c r="AS72" s="86"/>
      <c r="AT72" s="86"/>
      <c r="AU72" s="86"/>
      <c r="AV72" s="86"/>
      <c r="AW72" s="86"/>
      <c r="AX72" s="86"/>
      <c r="AY72" s="86"/>
      <c r="AZ72" s="86"/>
      <c r="BA72" s="86"/>
      <c r="BB72" s="86"/>
      <c r="BC72" s="86"/>
      <c r="BD72" s="86"/>
      <c r="BE72" s="86"/>
      <c r="BF72" s="86"/>
      <c r="BG72" s="86"/>
      <c r="BH72" s="86"/>
      <c r="BI72" s="86"/>
      <c r="BJ72" s="86"/>
      <c r="BK72" s="86"/>
      <c r="BL72" s="86"/>
      <c r="BM72" s="86"/>
      <c r="BN72" s="86"/>
      <c r="BO72" s="86"/>
      <c r="BP72" s="86"/>
      <c r="BQ72" s="86"/>
      <c r="BR72" s="86"/>
      <c r="BS72" s="86"/>
      <c r="BT72" s="86"/>
      <c r="BU72" s="86"/>
      <c r="BV72" s="86"/>
      <c r="BW72" s="86"/>
      <c r="BX72" s="86"/>
      <c r="BY72" s="86"/>
      <c r="BZ72" s="86"/>
      <c r="CA72" s="86"/>
    </row>
  </sheetData>
  <mergeCells count="15">
    <mergeCell ref="A1:AL1"/>
    <mergeCell ref="A3:AL3"/>
    <mergeCell ref="Q4:Y4"/>
    <mergeCell ref="A5:A7"/>
    <mergeCell ref="B5:B7"/>
    <mergeCell ref="C5:C7"/>
    <mergeCell ref="D5:D7"/>
    <mergeCell ref="AK5:AM5"/>
    <mergeCell ref="A65:B65"/>
    <mergeCell ref="AN10:AN13"/>
    <mergeCell ref="A26:A28"/>
    <mergeCell ref="AN26:AN28"/>
    <mergeCell ref="A52:A54"/>
    <mergeCell ref="AN52:AN54"/>
    <mergeCell ref="AN55:AN56"/>
  </mergeCells>
  <printOptions horizontalCentered="1"/>
  <pageMargins left="0" right="0" top="0" bottom="0" header="0.23622047244094491" footer="0.23622047244094491"/>
  <pageSetup paperSize="9" scale="80" orientation="landscape"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прогноз на 2019- 2021- за 9 мес</vt:lpstr>
      <vt:lpstr>'прогноз на 2019- 2021- за 9 мес'!Заголовки_для_печати</vt:lpstr>
      <vt:lpstr>'прогноз на 2019- 2021- за 9 мес'!Область_печати</vt:lpstr>
    </vt:vector>
  </TitlesOfParts>
  <Company>Adm</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Ekonom7</dc:creator>
  <cp:lastModifiedBy>Ekonom7</cp:lastModifiedBy>
  <cp:lastPrinted>2018-10-02T11:50:50Z</cp:lastPrinted>
  <dcterms:created xsi:type="dcterms:W3CDTF">2014-05-19T10:52:36Z</dcterms:created>
  <dcterms:modified xsi:type="dcterms:W3CDTF">2018-10-16T06:18:31Z</dcterms:modified>
</cp:coreProperties>
</file>