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/>
  </bookViews>
  <sheets>
    <sheet name="СВОД" sheetId="12" r:id="rId1"/>
    <sheet name="ООО &quot;Базис&quot;" sheetId="1" r:id="rId2"/>
    <sheet name="ООО &quot;Ненецкая УК&quot;" sheetId="4" r:id="rId3"/>
    <sheet name="ООО &quot;Коми-Сервис&quot;" sheetId="5" r:id="rId4"/>
    <sheet name="ООО &quot;Наш дом&quot;" sheetId="6" r:id="rId5"/>
    <sheet name="ООО УК &quot;Уютный дом&quot;" sheetId="7" r:id="rId6"/>
    <sheet name="ООО УК &quot;Нарьян-Марстрой&quot;" sheetId="8" r:id="rId7"/>
    <sheet name="ООО УК &quot;ПОКиТС&quot;" sheetId="9" r:id="rId8"/>
    <sheet name="Нарьян-Марское МУ ПОК и ТС" sheetId="10" r:id="rId9"/>
    <sheet name="ООО &quot;Аврора&quot;" sheetId="11" r:id="rId10"/>
    <sheet name="ТСЖ &quot;Дворянское гнездо&quot;" sheetId="13" r:id="rId11"/>
    <sheet name="ООО &quot;Содружество&quot;" sheetId="2" r:id="rId12"/>
    <sheet name="Лист3" sheetId="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8" hidden="1">'Нарьян-Марское МУ ПОК и ТС'!$C$5:$D$32</definedName>
    <definedName name="_xlnm._FilterDatabase" localSheetId="1" hidden="1">'ООО "Базис"'!$C$7:$R$50</definedName>
    <definedName name="_xlnm.Print_Area" localSheetId="9">'ООО "Аврора"'!$A$1:$AE$30</definedName>
    <definedName name="_xlnm.Print_Area" localSheetId="7">'ООО УК "ПОКиТС"'!$A$1:$O$12</definedName>
    <definedName name="_xlnm.Print_Area" localSheetId="0">СВОД!$A$1:$N$14</definedName>
  </definedNames>
  <calcPr calcId="125725"/>
</workbook>
</file>

<file path=xl/calcChain.xml><?xml version="1.0" encoding="utf-8"?>
<calcChain xmlns="http://schemas.openxmlformats.org/spreadsheetml/2006/main">
  <c r="C14" i="12"/>
  <c r="J13" l="1"/>
  <c r="Y25" i="2" l="1"/>
  <c r="Y69"/>
  <c r="Y73"/>
  <c r="Y57"/>
  <c r="Y48"/>
  <c r="Y58"/>
  <c r="Y64"/>
  <c r="Y31"/>
  <c r="Y10"/>
  <c r="Y29"/>
  <c r="Y37"/>
  <c r="Y42"/>
  <c r="Y56"/>
  <c r="Y18"/>
  <c r="Y30"/>
  <c r="Y46"/>
  <c r="Y54"/>
  <c r="Y52"/>
  <c r="Y66"/>
  <c r="Y7"/>
  <c r="Y32"/>
  <c r="Y60"/>
  <c r="Y65"/>
  <c r="Y33"/>
  <c r="Y23"/>
  <c r="Y63"/>
  <c r="Y67"/>
  <c r="Y36"/>
  <c r="Y26"/>
  <c r="Y21"/>
  <c r="Y17"/>
  <c r="Y20"/>
  <c r="Y14"/>
  <c r="Y9"/>
  <c r="Y13"/>
  <c r="Y68"/>
  <c r="Y71"/>
  <c r="Y72"/>
  <c r="Y75"/>
  <c r="Y51"/>
  <c r="Y70"/>
  <c r="Y55"/>
  <c r="Y12"/>
  <c r="Y74"/>
  <c r="Y50"/>
  <c r="Y61"/>
  <c r="Y59"/>
  <c r="Y11"/>
  <c r="Y45"/>
  <c r="Y47"/>
  <c r="Y62"/>
  <c r="Y35"/>
  <c r="Y15"/>
  <c r="Y44"/>
  <c r="Y34"/>
  <c r="Y19"/>
  <c r="Y6"/>
  <c r="Y8"/>
  <c r="Y41"/>
  <c r="Y53"/>
  <c r="Y43"/>
  <c r="Y24"/>
  <c r="Y27"/>
  <c r="Y38"/>
  <c r="Y49"/>
  <c r="Y16"/>
  <c r="Y28"/>
  <c r="Y40"/>
  <c r="Y22"/>
  <c r="Y39"/>
  <c r="AD76"/>
  <c r="AC76"/>
  <c r="AB25"/>
  <c r="AB69"/>
  <c r="AB73"/>
  <c r="AB57"/>
  <c r="AB48"/>
  <c r="AB58"/>
  <c r="AB64"/>
  <c r="AB31"/>
  <c r="AB10"/>
  <c r="AB29"/>
  <c r="AB37"/>
  <c r="AB42"/>
  <c r="AB56"/>
  <c r="AB18"/>
  <c r="AB30"/>
  <c r="AB46"/>
  <c r="AB54"/>
  <c r="AB52"/>
  <c r="AB66"/>
  <c r="AB7"/>
  <c r="AB32"/>
  <c r="AB60"/>
  <c r="AB65"/>
  <c r="AB33"/>
  <c r="AB23"/>
  <c r="AB63"/>
  <c r="AB67"/>
  <c r="AB36"/>
  <c r="AB26"/>
  <c r="AB21"/>
  <c r="AB17"/>
  <c r="AB20"/>
  <c r="AB14"/>
  <c r="AB9"/>
  <c r="AB13"/>
  <c r="AB68"/>
  <c r="AB71"/>
  <c r="AB72"/>
  <c r="AB75"/>
  <c r="AB51"/>
  <c r="AB70"/>
  <c r="AB55"/>
  <c r="AB12"/>
  <c r="AB74"/>
  <c r="AB50"/>
  <c r="AB61"/>
  <c r="AB59"/>
  <c r="AB11"/>
  <c r="AB45"/>
  <c r="AB47"/>
  <c r="AB62"/>
  <c r="AB35"/>
  <c r="AB15"/>
  <c r="AB44"/>
  <c r="AB34"/>
  <c r="AB19"/>
  <c r="AB6"/>
  <c r="AB8"/>
  <c r="AB41"/>
  <c r="AB53"/>
  <c r="AB43"/>
  <c r="AB24"/>
  <c r="AB27"/>
  <c r="AB38"/>
  <c r="AB49"/>
  <c r="AB16"/>
  <c r="AB28"/>
  <c r="AB40"/>
  <c r="AB22"/>
  <c r="AB39"/>
  <c r="Z76"/>
  <c r="AB76" l="1"/>
  <c r="AA76"/>
  <c r="Y76" l="1"/>
  <c r="AE189" i="9" l="1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B212"/>
  <c r="AE212" s="1"/>
  <c r="AB155"/>
  <c r="AB156"/>
  <c r="AE156" s="1"/>
  <c r="AB142"/>
  <c r="AB189"/>
  <c r="AB139"/>
  <c r="AB22"/>
  <c r="AB49" l="1"/>
  <c r="AB104"/>
  <c r="AB42"/>
  <c r="AB154"/>
  <c r="AB100"/>
  <c r="AB136"/>
  <c r="AB222"/>
  <c r="AE222" s="1"/>
  <c r="AB152"/>
  <c r="AB70"/>
  <c r="AB149"/>
  <c r="AB28"/>
  <c r="AB123"/>
  <c r="AB93"/>
  <c r="AB55"/>
  <c r="AB14"/>
  <c r="AB130"/>
  <c r="AB34"/>
  <c r="AB13"/>
  <c r="AB134"/>
  <c r="AB44"/>
  <c r="AB31"/>
  <c r="AB33"/>
  <c r="AB221"/>
  <c r="AE221" s="1"/>
  <c r="AB220"/>
  <c r="AE220" s="1"/>
  <c r="AB90"/>
  <c r="AB135"/>
  <c r="AB121"/>
  <c r="AB219"/>
  <c r="AE219" s="1"/>
  <c r="AB215"/>
  <c r="AE215" s="1"/>
  <c r="AB218"/>
  <c r="AE218" s="1"/>
  <c r="AD217"/>
  <c r="AB217" s="1"/>
  <c r="AE217" s="1"/>
  <c r="AB216"/>
  <c r="AE216" s="1"/>
  <c r="AB20"/>
  <c r="AB214"/>
  <c r="AE214" s="1"/>
  <c r="AB85"/>
  <c r="AB52"/>
  <c r="AB108"/>
  <c r="AB80"/>
  <c r="AB32"/>
  <c r="AB138"/>
  <c r="AB163"/>
  <c r="AB210"/>
  <c r="AB97"/>
  <c r="AB107"/>
  <c r="AB78"/>
  <c r="AB36"/>
  <c r="AB207"/>
  <c r="AE207" s="1"/>
  <c r="AB206"/>
  <c r="AE206" s="1"/>
  <c r="AB79"/>
  <c r="AB209"/>
  <c r="AE209" s="1"/>
  <c r="AB208"/>
  <c r="AE208" s="1"/>
  <c r="AB167"/>
  <c r="AB69"/>
  <c r="AB96"/>
  <c r="AB159"/>
  <c r="AB166"/>
  <c r="AB205"/>
  <c r="AB151"/>
  <c r="AB10"/>
  <c r="AB113"/>
  <c r="AE113" s="1"/>
  <c r="AB203"/>
  <c r="AE203" s="1"/>
  <c r="AB106"/>
  <c r="AB82"/>
  <c r="AB202"/>
  <c r="AE202" s="1"/>
  <c r="AB201"/>
  <c r="AE201" s="1"/>
  <c r="AB196"/>
  <c r="AE196" s="1"/>
  <c r="AB58"/>
  <c r="AB165"/>
  <c r="AB200"/>
  <c r="AB27"/>
  <c r="AB24"/>
  <c r="AB199"/>
  <c r="AB8"/>
  <c r="AB116"/>
  <c r="AB21"/>
  <c r="AB64"/>
  <c r="AB140"/>
  <c r="AB12"/>
  <c r="AB72"/>
  <c r="AB19"/>
  <c r="AB37"/>
  <c r="AB198"/>
  <c r="AE198" s="1"/>
  <c r="AB127"/>
  <c r="AB197"/>
  <c r="AE197" s="1"/>
  <c r="AB128"/>
  <c r="AB66"/>
  <c r="AB23"/>
  <c r="AB192"/>
  <c r="AB54"/>
  <c r="AB194"/>
  <c r="AB170"/>
  <c r="AB133"/>
  <c r="AB125"/>
  <c r="AB9"/>
  <c r="AB109"/>
  <c r="AB193"/>
  <c r="AB45"/>
  <c r="AB191"/>
  <c r="AB18"/>
  <c r="AB41"/>
  <c r="AB88"/>
  <c r="AB126"/>
  <c r="AB137"/>
  <c r="AB98"/>
  <c r="AB30"/>
  <c r="AB16"/>
  <c r="AB110"/>
  <c r="AB164"/>
  <c r="AB25"/>
  <c r="AB188"/>
  <c r="AE188" s="1"/>
  <c r="AB190"/>
  <c r="AB40"/>
  <c r="AB115"/>
  <c r="AB122"/>
  <c r="AB83"/>
  <c r="AB15"/>
  <c r="AB61"/>
  <c r="AB60"/>
  <c r="AB86"/>
  <c r="AB187"/>
  <c r="AE187" s="1"/>
  <c r="AB68"/>
  <c r="AB161"/>
  <c r="AE161" s="1"/>
  <c r="AB144"/>
  <c r="AB162"/>
  <c r="AB185"/>
  <c r="AE185" s="1"/>
  <c r="AB89"/>
  <c r="AB169"/>
  <c r="AB26"/>
  <c r="AB186"/>
  <c r="AB56"/>
  <c r="AB168"/>
  <c r="AB153"/>
  <c r="AB184"/>
  <c r="AB146"/>
  <c r="AE146" s="1"/>
  <c r="AB183"/>
  <c r="AE183" s="1"/>
  <c r="AB131"/>
  <c r="AB103"/>
  <c r="AB157"/>
  <c r="AB141"/>
  <c r="AB145"/>
  <c r="AE145" s="1"/>
  <c r="AB77"/>
  <c r="AB160"/>
  <c r="AE160" s="1"/>
  <c r="AB102"/>
  <c r="AB182"/>
  <c r="AB74"/>
  <c r="AB53"/>
  <c r="AB114"/>
  <c r="AB181"/>
  <c r="AB180"/>
  <c r="AB11"/>
  <c r="AB117"/>
  <c r="AB75"/>
  <c r="AB47"/>
  <c r="AB179"/>
  <c r="AE179" s="1"/>
  <c r="AB92"/>
  <c r="AB87"/>
  <c r="AB39"/>
  <c r="AB65"/>
  <c r="AB76"/>
  <c r="AB118"/>
  <c r="AB59"/>
  <c r="AB129"/>
  <c r="AB119"/>
  <c r="AB213"/>
  <c r="AE213" s="1"/>
  <c r="AD211"/>
  <c r="AB211" s="1"/>
  <c r="AE211" s="1"/>
  <c r="AB29"/>
  <c r="AB63"/>
  <c r="AB7"/>
  <c r="AB178"/>
  <c r="AE178" s="1"/>
  <c r="AB148"/>
  <c r="AB67"/>
  <c r="AB150"/>
  <c r="AE150" s="1"/>
  <c r="AB50"/>
  <c r="AC177"/>
  <c r="AB177" s="1"/>
  <c r="AE177" s="1"/>
  <c r="AB111"/>
  <c r="AB17"/>
  <c r="AB176"/>
  <c r="AE176" s="1"/>
  <c r="AB48"/>
  <c r="AB71"/>
  <c r="AB143"/>
  <c r="AB43"/>
  <c r="AB57"/>
  <c r="AB51"/>
  <c r="AB95"/>
  <c r="AB99"/>
  <c r="AB35"/>
  <c r="AB171"/>
  <c r="AB120"/>
  <c r="AB38"/>
  <c r="AB81"/>
  <c r="AB112"/>
  <c r="AB46"/>
  <c r="AB172"/>
  <c r="AB158"/>
  <c r="AE158" s="1"/>
  <c r="AB175"/>
  <c r="AB124"/>
  <c r="AB101"/>
  <c r="AB91"/>
  <c r="AB62"/>
  <c r="AB73"/>
  <c r="AB84"/>
  <c r="AB132"/>
  <c r="AB147"/>
  <c r="AB105"/>
  <c r="AB94"/>
  <c r="AE7" i="11"/>
  <c r="AE14"/>
  <c r="AE31" i="1"/>
  <c r="AE175" i="9" l="1"/>
  <c r="AB223"/>
  <c r="K4" i="12" s="1"/>
  <c r="AB173" i="9"/>
  <c r="J4" i="12" s="1"/>
  <c r="F18" i="4"/>
  <c r="G8" i="12" l="1"/>
  <c r="D8"/>
  <c r="AE35" i="4"/>
  <c r="AE24"/>
  <c r="AE28"/>
  <c r="AE32"/>
  <c r="AC36"/>
  <c r="AD36"/>
  <c r="AA36"/>
  <c r="AE11"/>
  <c r="AB35"/>
  <c r="AB34"/>
  <c r="AE34" s="1"/>
  <c r="AB33"/>
  <c r="AE33" s="1"/>
  <c r="AB32"/>
  <c r="AB31"/>
  <c r="AE31" s="1"/>
  <c r="AB30"/>
  <c r="AE30" s="1"/>
  <c r="AB29"/>
  <c r="AE29" s="1"/>
  <c r="AB28"/>
  <c r="AB27"/>
  <c r="AE27" s="1"/>
  <c r="AB26"/>
  <c r="AE26" s="1"/>
  <c r="AB25"/>
  <c r="AE25" s="1"/>
  <c r="AB24"/>
  <c r="AB23"/>
  <c r="AE23" s="1"/>
  <c r="AB22"/>
  <c r="AE22" s="1"/>
  <c r="AB21"/>
  <c r="AE21" s="1"/>
  <c r="AB20"/>
  <c r="AE20" s="1"/>
  <c r="AB13"/>
  <c r="AE13" s="1"/>
  <c r="AB9"/>
  <c r="AE9" s="1"/>
  <c r="AB12"/>
  <c r="AE12" s="1"/>
  <c r="AB15"/>
  <c r="AE15" s="1"/>
  <c r="AB11"/>
  <c r="AC8"/>
  <c r="AB10"/>
  <c r="AE10" s="1"/>
  <c r="AB14"/>
  <c r="AE14" s="1"/>
  <c r="AB16"/>
  <c r="AE16" s="1"/>
  <c r="AD7"/>
  <c r="AB17"/>
  <c r="AE17" s="1"/>
  <c r="F50" i="1"/>
  <c r="F16"/>
  <c r="AE49"/>
  <c r="AE24"/>
  <c r="AE36"/>
  <c r="AB49"/>
  <c r="AB48"/>
  <c r="AE48" s="1"/>
  <c r="AB47"/>
  <c r="AE47" s="1"/>
  <c r="AB46"/>
  <c r="AE46" s="1"/>
  <c r="AB45"/>
  <c r="AE45" s="1"/>
  <c r="AD44"/>
  <c r="AB44" s="1"/>
  <c r="AE44" s="1"/>
  <c r="AC44"/>
  <c r="AD43"/>
  <c r="AC43"/>
  <c r="AB43" s="1"/>
  <c r="AE43" s="1"/>
  <c r="AD42"/>
  <c r="AC42"/>
  <c r="AB42" s="1"/>
  <c r="AE42" s="1"/>
  <c r="AD41"/>
  <c r="AC41"/>
  <c r="AB41" s="1"/>
  <c r="AE41" s="1"/>
  <c r="AB40"/>
  <c r="AB39"/>
  <c r="AE39" s="1"/>
  <c r="AD38"/>
  <c r="AC38"/>
  <c r="AB38" s="1"/>
  <c r="AE38" s="1"/>
  <c r="AD37"/>
  <c r="AC37"/>
  <c r="AB37" s="1"/>
  <c r="AE37" s="1"/>
  <c r="AB36"/>
  <c r="AD35"/>
  <c r="AC35"/>
  <c r="AD34"/>
  <c r="AC34"/>
  <c r="AB34"/>
  <c r="AE34" s="1"/>
  <c r="AB33"/>
  <c r="AE33" s="1"/>
  <c r="AB32"/>
  <c r="AE32" s="1"/>
  <c r="AD31"/>
  <c r="AC31"/>
  <c r="AB31" s="1"/>
  <c r="AD30"/>
  <c r="AC30"/>
  <c r="AB30" s="1"/>
  <c r="AE30" s="1"/>
  <c r="AD29"/>
  <c r="AC29"/>
  <c r="AD28"/>
  <c r="AC28"/>
  <c r="AD27"/>
  <c r="AC27"/>
  <c r="AD26"/>
  <c r="AC26"/>
  <c r="AB26"/>
  <c r="AE26" s="1"/>
  <c r="AD25"/>
  <c r="AC25"/>
  <c r="AB25" s="1"/>
  <c r="AE25" s="1"/>
  <c r="AC24"/>
  <c r="AB24" s="1"/>
  <c r="AB23"/>
  <c r="AE23" s="1"/>
  <c r="AD22"/>
  <c r="AC22"/>
  <c r="AB22" s="1"/>
  <c r="AE22" s="1"/>
  <c r="AD21"/>
  <c r="AC21"/>
  <c r="AB21" s="1"/>
  <c r="AE21" s="1"/>
  <c r="AD20"/>
  <c r="AC20"/>
  <c r="AD19"/>
  <c r="AC19"/>
  <c r="AD18"/>
  <c r="AC18"/>
  <c r="AD10"/>
  <c r="AC10"/>
  <c r="AD11"/>
  <c r="AC11"/>
  <c r="AB14"/>
  <c r="AE14" s="1"/>
  <c r="AC15"/>
  <c r="AB15" s="1"/>
  <c r="AE15" s="1"/>
  <c r="AD7"/>
  <c r="AC7"/>
  <c r="AB7"/>
  <c r="AE7" s="1"/>
  <c r="AD12"/>
  <c r="AC12"/>
  <c r="AB12" s="1"/>
  <c r="AE12" s="1"/>
  <c r="AB13"/>
  <c r="AE13" s="1"/>
  <c r="AB9"/>
  <c r="AE9" s="1"/>
  <c r="AC8"/>
  <c r="AB8" s="1"/>
  <c r="AE8" s="1"/>
  <c r="AB36" i="4" l="1"/>
  <c r="AB7"/>
  <c r="AE7" s="1"/>
  <c r="AD18"/>
  <c r="AB8"/>
  <c r="AE8" s="1"/>
  <c r="AC18"/>
  <c r="AB10" i="1"/>
  <c r="AE10" s="1"/>
  <c r="AB19"/>
  <c r="AE19" s="1"/>
  <c r="AB27"/>
  <c r="AE27" s="1"/>
  <c r="AB29"/>
  <c r="AE29" s="1"/>
  <c r="AB35"/>
  <c r="AE35" s="1"/>
  <c r="AB11"/>
  <c r="AE11" s="1"/>
  <c r="AB18"/>
  <c r="AB20"/>
  <c r="AE20" s="1"/>
  <c r="AB28"/>
  <c r="AE28" s="1"/>
  <c r="AA223" i="9"/>
  <c r="AC223"/>
  <c r="AD223"/>
  <c r="AA173"/>
  <c r="AC173"/>
  <c r="AD173"/>
  <c r="S195"/>
  <c r="V195"/>
  <c r="Y189"/>
  <c r="AB18" i="4" l="1"/>
  <c r="J8" i="12" s="1"/>
  <c r="M8" s="1"/>
  <c r="K8"/>
  <c r="AB50" i="1"/>
  <c r="AE18"/>
  <c r="AC25" i="5"/>
  <c r="AD25"/>
  <c r="AA25"/>
  <c r="AB24"/>
  <c r="AB23"/>
  <c r="AB22"/>
  <c r="AB21"/>
  <c r="AB20"/>
  <c r="AB25" s="1"/>
  <c r="K9" i="12" s="1"/>
  <c r="AB12" i="5"/>
  <c r="AB9"/>
  <c r="AB14"/>
  <c r="AB13"/>
  <c r="AB7"/>
  <c r="AB15"/>
  <c r="AB17"/>
  <c r="AB11"/>
  <c r="AB10"/>
  <c r="AB8"/>
  <c r="AB16"/>
  <c r="AC11" i="6"/>
  <c r="AD11"/>
  <c r="AB7"/>
  <c r="AB6"/>
  <c r="AB11" s="1"/>
  <c r="J7" i="12" s="1"/>
  <c r="AB8" i="6"/>
  <c r="AB10"/>
  <c r="AB9"/>
  <c r="AC11" i="7"/>
  <c r="AD11"/>
  <c r="AB6"/>
  <c r="AB8"/>
  <c r="AB9"/>
  <c r="AB10"/>
  <c r="AB7"/>
  <c r="AB11" l="1"/>
  <c r="J11" i="12" s="1"/>
  <c r="AB18" i="5"/>
  <c r="J9" i="12" s="1"/>
  <c r="K6"/>
  <c r="AE29" i="11"/>
  <c r="AE28"/>
  <c r="AE23"/>
  <c r="AE12"/>
  <c r="AE21"/>
  <c r="AE8"/>
  <c r="AE22"/>
  <c r="AE11"/>
  <c r="AE10"/>
  <c r="AE17"/>
  <c r="AE9"/>
  <c r="AE16"/>
  <c r="AE24"/>
  <c r="AE20"/>
  <c r="AE18"/>
  <c r="AE19"/>
  <c r="AE13"/>
  <c r="AE15"/>
  <c r="AB30"/>
  <c r="AB25"/>
  <c r="F25" l="1"/>
  <c r="G10" i="12" s="1"/>
  <c r="F30" i="11"/>
  <c r="F49" i="8"/>
  <c r="U30" i="11"/>
  <c r="AE48" i="8"/>
  <c r="AC49"/>
  <c r="AD49"/>
  <c r="AA49"/>
  <c r="AC44"/>
  <c r="AD44"/>
  <c r="AB48"/>
  <c r="AB47"/>
  <c r="AE47" s="1"/>
  <c r="AB46"/>
  <c r="AE46" s="1"/>
  <c r="AB10"/>
  <c r="AB40"/>
  <c r="AB41"/>
  <c r="AB31"/>
  <c r="AB30"/>
  <c r="AB36"/>
  <c r="AB22"/>
  <c r="AB11"/>
  <c r="AB24"/>
  <c r="AB28"/>
  <c r="AB39"/>
  <c r="AB38"/>
  <c r="AB27"/>
  <c r="AB23"/>
  <c r="AB14"/>
  <c r="AB42"/>
  <c r="AB43"/>
  <c r="AB29"/>
  <c r="AB19"/>
  <c r="AB26"/>
  <c r="AB17"/>
  <c r="AB13"/>
  <c r="AB32"/>
  <c r="AB35"/>
  <c r="AB18"/>
  <c r="AB20"/>
  <c r="AB16"/>
  <c r="AB33"/>
  <c r="AB9"/>
  <c r="AB21"/>
  <c r="AB25"/>
  <c r="AB34"/>
  <c r="AB15"/>
  <c r="AB37"/>
  <c r="AB12"/>
  <c r="K10" i="12"/>
  <c r="J10"/>
  <c r="H10"/>
  <c r="E10"/>
  <c r="AC30" i="11"/>
  <c r="AD30"/>
  <c r="AB44" i="8" l="1"/>
  <c r="J5" i="12" s="1"/>
  <c r="AB49" i="8"/>
  <c r="K5" i="12" s="1"/>
  <c r="N10"/>
  <c r="M10"/>
  <c r="D12"/>
  <c r="AD29" i="10"/>
  <c r="AC29"/>
  <c r="AB29"/>
  <c r="AD25"/>
  <c r="AC25"/>
  <c r="AB25"/>
  <c r="AC31"/>
  <c r="AD26"/>
  <c r="AB26" s="1"/>
  <c r="AC26"/>
  <c r="AD9"/>
  <c r="AC9"/>
  <c r="AB9"/>
  <c r="AC10"/>
  <c r="AB10"/>
  <c r="AD10" s="1"/>
  <c r="AC17"/>
  <c r="AB17"/>
  <c r="AD17" s="1"/>
  <c r="AC12"/>
  <c r="AB12"/>
  <c r="AC7"/>
  <c r="AB7"/>
  <c r="AD7" s="1"/>
  <c r="AD8"/>
  <c r="AB8" s="1"/>
  <c r="AC8"/>
  <c r="AC16"/>
  <c r="AB16"/>
  <c r="AD16" s="1"/>
  <c r="AD19"/>
  <c r="AB19" s="1"/>
  <c r="AC19"/>
  <c r="AD22"/>
  <c r="AB22" s="1"/>
  <c r="AC22"/>
  <c r="AC11"/>
  <c r="AB11"/>
  <c r="AD11" s="1"/>
  <c r="AC24"/>
  <c r="AB24"/>
  <c r="AC18"/>
  <c r="AB18"/>
  <c r="AD18" s="1"/>
  <c r="AD21"/>
  <c r="AC21"/>
  <c r="AB21"/>
  <c r="AD15"/>
  <c r="AC15"/>
  <c r="AB15"/>
  <c r="AD27"/>
  <c r="AC27"/>
  <c r="AB27" s="1"/>
  <c r="AD14"/>
  <c r="AB14" s="1"/>
  <c r="AC14"/>
  <c r="AD23"/>
  <c r="AC23"/>
  <c r="AB23"/>
  <c r="AD28"/>
  <c r="AC28"/>
  <c r="AD13"/>
  <c r="AC13"/>
  <c r="AD20"/>
  <c r="AC20"/>
  <c r="AB20" s="1"/>
  <c r="AD30"/>
  <c r="AC30"/>
  <c r="AD12" l="1"/>
  <c r="AB30"/>
  <c r="AB13"/>
  <c r="AD24"/>
  <c r="AC32"/>
  <c r="AB28"/>
  <c r="Y49" i="9" l="1"/>
  <c r="Y104"/>
  <c r="Y42"/>
  <c r="Y154"/>
  <c r="Y100"/>
  <c r="Y136"/>
  <c r="Y222"/>
  <c r="Y152"/>
  <c r="Y70"/>
  <c r="Y149"/>
  <c r="Y28"/>
  <c r="Y123"/>
  <c r="Y93"/>
  <c r="Y55"/>
  <c r="Y14"/>
  <c r="Y130"/>
  <c r="Y34"/>
  <c r="Y13"/>
  <c r="Y134"/>
  <c r="Y44"/>
  <c r="Y31"/>
  <c r="Y33"/>
  <c r="Y221"/>
  <c r="Y220"/>
  <c r="Y90"/>
  <c r="Y135"/>
  <c r="Y121"/>
  <c r="Y219"/>
  <c r="Y215"/>
  <c r="Y218"/>
  <c r="Y217"/>
  <c r="Y216"/>
  <c r="Y20"/>
  <c r="Y214"/>
  <c r="Y85"/>
  <c r="Y52"/>
  <c r="Y108"/>
  <c r="Y80"/>
  <c r="Y32"/>
  <c r="Y138"/>
  <c r="Y163"/>
  <c r="Y210"/>
  <c r="Y97"/>
  <c r="Y107"/>
  <c r="Y78"/>
  <c r="Y36"/>
  <c r="Y207"/>
  <c r="Y206"/>
  <c r="Y79"/>
  <c r="Y209"/>
  <c r="Y208"/>
  <c r="Y167"/>
  <c r="Y69"/>
  <c r="Y96"/>
  <c r="Y159"/>
  <c r="Y166"/>
  <c r="Y205"/>
  <c r="Y151"/>
  <c r="Y10"/>
  <c r="Y155"/>
  <c r="Y113"/>
  <c r="Y106"/>
  <c r="Y82"/>
  <c r="Y202"/>
  <c r="Y201"/>
  <c r="Y196"/>
  <c r="Y58"/>
  <c r="Y165"/>
  <c r="Y200"/>
  <c r="Y27"/>
  <c r="Y24"/>
  <c r="Y199"/>
  <c r="Z8"/>
  <c r="Y8" s="1"/>
  <c r="Y116"/>
  <c r="Y21"/>
  <c r="Y64"/>
  <c r="Y140"/>
  <c r="Y12"/>
  <c r="Y72"/>
  <c r="Y19"/>
  <c r="Y37"/>
  <c r="Y198"/>
  <c r="Y127"/>
  <c r="Y197"/>
  <c r="Y128"/>
  <c r="Y66"/>
  <c r="Y23"/>
  <c r="Y192"/>
  <c r="Y142"/>
  <c r="Y54"/>
  <c r="Y194"/>
  <c r="Y170"/>
  <c r="Y133"/>
  <c r="Y125"/>
  <c r="Z9"/>
  <c r="Y9" s="1"/>
  <c r="Y156"/>
  <c r="Y109"/>
  <c r="Y193"/>
  <c r="Y45"/>
  <c r="Z191"/>
  <c r="Y18"/>
  <c r="Y41"/>
  <c r="Y88"/>
  <c r="Y126"/>
  <c r="Y137"/>
  <c r="Y98"/>
  <c r="Y30"/>
  <c r="Y16"/>
  <c r="Y40"/>
  <c r="Y115"/>
  <c r="Y122"/>
  <c r="Y110"/>
  <c r="Y164"/>
  <c r="Y25"/>
  <c r="Y188"/>
  <c r="Y190"/>
  <c r="Y83"/>
  <c r="Y15"/>
  <c r="Y61"/>
  <c r="Y60"/>
  <c r="Y86"/>
  <c r="Y187"/>
  <c r="Y68"/>
  <c r="Y161"/>
  <c r="Y144"/>
  <c r="Y162"/>
  <c r="Y185"/>
  <c r="Y89"/>
  <c r="Y169"/>
  <c r="Y26"/>
  <c r="Y186"/>
  <c r="Y56"/>
  <c r="Y168"/>
  <c r="Y153"/>
  <c r="Y184"/>
  <c r="Y146"/>
  <c r="Y183"/>
  <c r="Y131"/>
  <c r="Y103"/>
  <c r="Y157"/>
  <c r="Y141"/>
  <c r="Y145"/>
  <c r="Y77"/>
  <c r="Y160"/>
  <c r="Y102"/>
  <c r="Y182"/>
  <c r="Y74"/>
  <c r="Y53"/>
  <c r="Y114"/>
  <c r="Y181"/>
  <c r="Y180"/>
  <c r="Y11"/>
  <c r="Y117"/>
  <c r="Y75"/>
  <c r="Y47"/>
  <c r="Y179"/>
  <c r="Y92"/>
  <c r="Y87"/>
  <c r="Y39"/>
  <c r="Y65"/>
  <c r="Y76"/>
  <c r="Y118"/>
  <c r="Y59"/>
  <c r="Y129"/>
  <c r="Y119"/>
  <c r="Y213"/>
  <c r="Z211"/>
  <c r="Y211" s="1"/>
  <c r="Y29"/>
  <c r="Y63"/>
  <c r="Y7"/>
  <c r="Y178"/>
  <c r="Y148"/>
  <c r="Y67"/>
  <c r="Y150"/>
  <c r="Y50"/>
  <c r="Y139"/>
  <c r="Y177"/>
  <c r="Y111"/>
  <c r="Z17"/>
  <c r="Y176"/>
  <c r="Y48"/>
  <c r="Y71"/>
  <c r="Y143"/>
  <c r="Y22"/>
  <c r="Y43"/>
  <c r="Y57"/>
  <c r="Y51"/>
  <c r="Y95"/>
  <c r="Y99"/>
  <c r="Y35"/>
  <c r="Y171"/>
  <c r="Y120"/>
  <c r="Y38"/>
  <c r="Y84"/>
  <c r="Y81"/>
  <c r="Y132"/>
  <c r="Y112"/>
  <c r="Y46"/>
  <c r="Y172"/>
  <c r="Y158"/>
  <c r="Y175"/>
  <c r="Y124"/>
  <c r="Y101"/>
  <c r="Y91"/>
  <c r="Y62"/>
  <c r="Y73"/>
  <c r="Y147"/>
  <c r="Y105"/>
  <c r="Y94"/>
  <c r="Y30" i="11"/>
  <c r="Z30"/>
  <c r="AA30"/>
  <c r="Y25"/>
  <c r="Z25"/>
  <c r="AA25"/>
  <c r="AC25"/>
  <c r="AD25"/>
  <c r="W23" i="10"/>
  <c r="Z29"/>
  <c r="Y29"/>
  <c r="AA29" s="1"/>
  <c r="Z25"/>
  <c r="Y25"/>
  <c r="Z31"/>
  <c r="AA26"/>
  <c r="Z26"/>
  <c r="Z9"/>
  <c r="Y9"/>
  <c r="Z10"/>
  <c r="Y10"/>
  <c r="AA10" s="1"/>
  <c r="AA17"/>
  <c r="Z17"/>
  <c r="Y17"/>
  <c r="Z12"/>
  <c r="Y12"/>
  <c r="AA12" s="1"/>
  <c r="Z7"/>
  <c r="Y7"/>
  <c r="AA7" s="1"/>
  <c r="AA8"/>
  <c r="Y8" s="1"/>
  <c r="Z8"/>
  <c r="Z16"/>
  <c r="Y16"/>
  <c r="AA16" s="1"/>
  <c r="AA19"/>
  <c r="Z19"/>
  <c r="AA22"/>
  <c r="Z22"/>
  <c r="Z11"/>
  <c r="Y11"/>
  <c r="AA11" s="1"/>
  <c r="AA24"/>
  <c r="Z24"/>
  <c r="Y24"/>
  <c r="Z18"/>
  <c r="Y18"/>
  <c r="AA18" s="1"/>
  <c r="Z21"/>
  <c r="Y21"/>
  <c r="AA21" s="1"/>
  <c r="Z15"/>
  <c r="Y15"/>
  <c r="AA27"/>
  <c r="Z27"/>
  <c r="AA14"/>
  <c r="Y14" s="1"/>
  <c r="Z14"/>
  <c r="Z23"/>
  <c r="Y23"/>
  <c r="AA23" s="1"/>
  <c r="AA28"/>
  <c r="Y28" s="1"/>
  <c r="Z28"/>
  <c r="AA13"/>
  <c r="Z13"/>
  <c r="AA20"/>
  <c r="Y20" s="1"/>
  <c r="Z20"/>
  <c r="AA30"/>
  <c r="Z30"/>
  <c r="Z32" s="1"/>
  <c r="Y17" i="9" l="1"/>
  <c r="Y173" s="1"/>
  <c r="Z173"/>
  <c r="Y191"/>
  <c r="Y223" s="1"/>
  <c r="Z223"/>
  <c r="AA15" i="10"/>
  <c r="Y22"/>
  <c r="Y27"/>
  <c r="Y19"/>
  <c r="Y26"/>
  <c r="AA25"/>
  <c r="AA9"/>
  <c r="Y13"/>
  <c r="Y30"/>
  <c r="Y49" i="8" l="1"/>
  <c r="Z49"/>
  <c r="Y48"/>
  <c r="Y47"/>
  <c r="Y46"/>
  <c r="Z44"/>
  <c r="AA44"/>
  <c r="Y10"/>
  <c r="Y40"/>
  <c r="Y41"/>
  <c r="Y31"/>
  <c r="Y30"/>
  <c r="Y36"/>
  <c r="Y22"/>
  <c r="Y11"/>
  <c r="Y24"/>
  <c r="Y28"/>
  <c r="Y39"/>
  <c r="Y38"/>
  <c r="Y27"/>
  <c r="Y23"/>
  <c r="Y14"/>
  <c r="Y42"/>
  <c r="Y43"/>
  <c r="Y29"/>
  <c r="Y19"/>
  <c r="Y26"/>
  <c r="Y17"/>
  <c r="Y13"/>
  <c r="Y32"/>
  <c r="Y35"/>
  <c r="Y18"/>
  <c r="Y20"/>
  <c r="Y16"/>
  <c r="Y33"/>
  <c r="Y9"/>
  <c r="Y21"/>
  <c r="Y25"/>
  <c r="Y34"/>
  <c r="Y15"/>
  <c r="Y37"/>
  <c r="Y44" s="1"/>
  <c r="Y12"/>
  <c r="Z11" i="7"/>
  <c r="AA11"/>
  <c r="Y6"/>
  <c r="Y8"/>
  <c r="Y9"/>
  <c r="Y10"/>
  <c r="Y7"/>
  <c r="Y11" l="1"/>
  <c r="Z11" i="6"/>
  <c r="AA11"/>
  <c r="Y7"/>
  <c r="Y6"/>
  <c r="Y11" s="1"/>
  <c r="Y8"/>
  <c r="Y10"/>
  <c r="Y9"/>
  <c r="Z25" i="5"/>
  <c r="Z18"/>
  <c r="AA18"/>
  <c r="AC18"/>
  <c r="AD18"/>
  <c r="Y24"/>
  <c r="Y23"/>
  <c r="Y25" s="1"/>
  <c r="Y22"/>
  <c r="Y21"/>
  <c r="Y20"/>
  <c r="Y12"/>
  <c r="Y9"/>
  <c r="Y14"/>
  <c r="Y13"/>
  <c r="Y7"/>
  <c r="Y15"/>
  <c r="Y17"/>
  <c r="Y11"/>
  <c r="Y10"/>
  <c r="Y8"/>
  <c r="Y16"/>
  <c r="Y18" s="1"/>
  <c r="Z36" i="4"/>
  <c r="Y35"/>
  <c r="Y34"/>
  <c r="Y33"/>
  <c r="Y32"/>
  <c r="Y31"/>
  <c r="Y30"/>
  <c r="Y29"/>
  <c r="Y28"/>
  <c r="Y27"/>
  <c r="Y26"/>
  <c r="Y25"/>
  <c r="Y24"/>
  <c r="Y23"/>
  <c r="Y22"/>
  <c r="Y21"/>
  <c r="Y36" s="1"/>
  <c r="Y20"/>
  <c r="Z18"/>
  <c r="Y13"/>
  <c r="AA9"/>
  <c r="AA18" s="1"/>
  <c r="Y12"/>
  <c r="Y15"/>
  <c r="Y11"/>
  <c r="Z8"/>
  <c r="Y8" s="1"/>
  <c r="Y10"/>
  <c r="Y14"/>
  <c r="Y16"/>
  <c r="Y7"/>
  <c r="Y17"/>
  <c r="Y9" l="1"/>
  <c r="Y18" s="1"/>
  <c r="Z50" i="1"/>
  <c r="AA50"/>
  <c r="AC50"/>
  <c r="AD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50" s="1"/>
  <c r="Y11"/>
  <c r="AB16"/>
  <c r="AC16"/>
  <c r="AD16"/>
  <c r="Y10"/>
  <c r="AA14"/>
  <c r="Y14" s="1"/>
  <c r="Y15"/>
  <c r="Z7"/>
  <c r="Y7" s="1"/>
  <c r="Y12"/>
  <c r="AA13"/>
  <c r="Y13" s="1"/>
  <c r="Y9"/>
  <c r="Z8"/>
  <c r="Z16" s="1"/>
  <c r="J6" i="12" l="1"/>
  <c r="Y8" i="1"/>
  <c r="Y16" s="1"/>
  <c r="AA16"/>
  <c r="A8" i="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F205"/>
  <c r="AE205" s="1"/>
  <c r="G205"/>
  <c r="K205"/>
  <c r="L205"/>
  <c r="N205"/>
  <c r="O205"/>
  <c r="P205"/>
  <c r="S205"/>
  <c r="V205"/>
  <c r="J205" l="1"/>
  <c r="M205"/>
  <c r="D4" i="12" l="1"/>
  <c r="E4"/>
  <c r="H6"/>
  <c r="N6" s="1"/>
  <c r="G6"/>
  <c r="V35" i="4"/>
  <c r="V34"/>
  <c r="V33"/>
  <c r="V32"/>
  <c r="V31"/>
  <c r="V30"/>
  <c r="V29"/>
  <c r="V28"/>
  <c r="V27"/>
  <c r="V26"/>
  <c r="V25"/>
  <c r="V24"/>
  <c r="V23"/>
  <c r="W22"/>
  <c r="V22" s="1"/>
  <c r="V21"/>
  <c r="V20"/>
  <c r="V36" s="1"/>
  <c r="V9"/>
  <c r="V12"/>
  <c r="W15"/>
  <c r="V15" s="1"/>
  <c r="V11"/>
  <c r="X8"/>
  <c r="V8" s="1"/>
  <c r="V10"/>
  <c r="V14"/>
  <c r="V16"/>
  <c r="V7"/>
  <c r="V17"/>
  <c r="R36"/>
  <c r="U36"/>
  <c r="W36"/>
  <c r="X36"/>
  <c r="F36"/>
  <c r="H8" i="12" s="1"/>
  <c r="N8" s="1"/>
  <c r="X18" i="4"/>
  <c r="A21"/>
  <c r="A8"/>
  <c r="C4" i="12" l="1"/>
  <c r="V18" i="4"/>
  <c r="F6" i="12"/>
  <c r="M6"/>
  <c r="W18" i="4"/>
  <c r="W16" i="1" l="1"/>
  <c r="V49"/>
  <c r="V48"/>
  <c r="V47"/>
  <c r="V46"/>
  <c r="V45"/>
  <c r="V44"/>
  <c r="V43"/>
  <c r="X42"/>
  <c r="V42" s="1"/>
  <c r="V41"/>
  <c r="V40"/>
  <c r="V39"/>
  <c r="X38"/>
  <c r="V38" s="1"/>
  <c r="X37"/>
  <c r="W37"/>
  <c r="V36"/>
  <c r="X35"/>
  <c r="V35" s="1"/>
  <c r="W35"/>
  <c r="V34"/>
  <c r="V33"/>
  <c r="V32"/>
  <c r="X31"/>
  <c r="W31"/>
  <c r="V31" s="1"/>
  <c r="X30"/>
  <c r="V30" s="1"/>
  <c r="X29"/>
  <c r="W29"/>
  <c r="V29" s="1"/>
  <c r="V28"/>
  <c r="X27"/>
  <c r="W27"/>
  <c r="X26"/>
  <c r="W26"/>
  <c r="V26" s="1"/>
  <c r="X25"/>
  <c r="W25"/>
  <c r="V25" s="1"/>
  <c r="W24"/>
  <c r="V24" s="1"/>
  <c r="V23"/>
  <c r="X22"/>
  <c r="W22"/>
  <c r="V22" s="1"/>
  <c r="V21"/>
  <c r="V20"/>
  <c r="V19"/>
  <c r="X18"/>
  <c r="V18" s="1"/>
  <c r="V10"/>
  <c r="X11"/>
  <c r="W11"/>
  <c r="V14"/>
  <c r="V15"/>
  <c r="V7"/>
  <c r="V12"/>
  <c r="V13"/>
  <c r="V9"/>
  <c r="X8"/>
  <c r="X16" s="1"/>
  <c r="W8"/>
  <c r="T15" i="2"/>
  <c r="V50" i="1" l="1"/>
  <c r="W50"/>
  <c r="X50"/>
  <c r="V8"/>
  <c r="V11"/>
  <c r="V27"/>
  <c r="V37"/>
  <c r="U40" i="2"/>
  <c r="U27"/>
  <c r="U24"/>
  <c r="U8"/>
  <c r="U6"/>
  <c r="U19"/>
  <c r="U34"/>
  <c r="U15"/>
  <c r="U35"/>
  <c r="U45"/>
  <c r="U11"/>
  <c r="U12"/>
  <c r="U13"/>
  <c r="U9"/>
  <c r="U14"/>
  <c r="U20"/>
  <c r="U17"/>
  <c r="U21"/>
  <c r="U26"/>
  <c r="U7"/>
  <c r="U30"/>
  <c r="U18"/>
  <c r="U56"/>
  <c r="U42"/>
  <c r="U37"/>
  <c r="U29"/>
  <c r="U10"/>
  <c r="U31"/>
  <c r="U64"/>
  <c r="U48"/>
  <c r="U57"/>
  <c r="U73"/>
  <c r="U69"/>
  <c r="U25"/>
  <c r="U39"/>
  <c r="T22"/>
  <c r="T40"/>
  <c r="T28"/>
  <c r="T16"/>
  <c r="T49"/>
  <c r="T38"/>
  <c r="T27"/>
  <c r="T24"/>
  <c r="T43"/>
  <c r="T53"/>
  <c r="T41"/>
  <c r="T8"/>
  <c r="T6"/>
  <c r="T19"/>
  <c r="T34"/>
  <c r="T44"/>
  <c r="T35"/>
  <c r="T62"/>
  <c r="T47"/>
  <c r="T45"/>
  <c r="T11"/>
  <c r="T59"/>
  <c r="T61"/>
  <c r="V16" i="1" l="1"/>
  <c r="T50" i="2"/>
  <c r="S50" s="1"/>
  <c r="T74"/>
  <c r="S74" s="1"/>
  <c r="T12"/>
  <c r="S12" s="1"/>
  <c r="T55"/>
  <c r="S55" s="1"/>
  <c r="T70"/>
  <c r="S70" s="1"/>
  <c r="T51"/>
  <c r="S51" s="1"/>
  <c r="T71"/>
  <c r="S71" s="1"/>
  <c r="T72"/>
  <c r="S72" s="1"/>
  <c r="T68"/>
  <c r="S68" s="1"/>
  <c r="T13"/>
  <c r="S13" s="1"/>
  <c r="T9"/>
  <c r="S9" s="1"/>
  <c r="T14"/>
  <c r="S14" s="1"/>
  <c r="T20"/>
  <c r="S20" s="1"/>
  <c r="T17"/>
  <c r="S17" s="1"/>
  <c r="T21"/>
  <c r="T26"/>
  <c r="S26" s="1"/>
  <c r="T36"/>
  <c r="S36" s="1"/>
  <c r="T67"/>
  <c r="T63"/>
  <c r="S63" s="1"/>
  <c r="T23"/>
  <c r="S23" s="1"/>
  <c r="T33"/>
  <c r="S33" s="1"/>
  <c r="T65"/>
  <c r="S65" s="1"/>
  <c r="T60"/>
  <c r="S60" s="1"/>
  <c r="T32"/>
  <c r="T7"/>
  <c r="S7" s="1"/>
  <c r="T66"/>
  <c r="S66" s="1"/>
  <c r="T52"/>
  <c r="T54"/>
  <c r="S54" s="1"/>
  <c r="T46"/>
  <c r="S46" s="1"/>
  <c r="T30"/>
  <c r="T18"/>
  <c r="S18" s="1"/>
  <c r="T56"/>
  <c r="S56" s="1"/>
  <c r="T42"/>
  <c r="S42" s="1"/>
  <c r="T37"/>
  <c r="S37" s="1"/>
  <c r="T29"/>
  <c r="S29" s="1"/>
  <c r="T10"/>
  <c r="T31"/>
  <c r="S31" s="1"/>
  <c r="T64"/>
  <c r="S64" s="1"/>
  <c r="T58"/>
  <c r="T48"/>
  <c r="S48" s="1"/>
  <c r="T57"/>
  <c r="S57" s="1"/>
  <c r="T73"/>
  <c r="T69"/>
  <c r="S69" s="1"/>
  <c r="T25"/>
  <c r="S25" s="1"/>
  <c r="T39"/>
  <c r="S39" s="1"/>
  <c r="S73"/>
  <c r="S58"/>
  <c r="S10"/>
  <c r="S30"/>
  <c r="S52"/>
  <c r="S32"/>
  <c r="S67"/>
  <c r="S21"/>
  <c r="S75"/>
  <c r="S61"/>
  <c r="S59"/>
  <c r="S11"/>
  <c r="S45"/>
  <c r="S47"/>
  <c r="S62"/>
  <c r="S35"/>
  <c r="S15"/>
  <c r="S44"/>
  <c r="S34"/>
  <c r="S19"/>
  <c r="S6"/>
  <c r="S8"/>
  <c r="S41"/>
  <c r="S53"/>
  <c r="S43"/>
  <c r="S24"/>
  <c r="S27"/>
  <c r="S38"/>
  <c r="S49"/>
  <c r="S16"/>
  <c r="S28"/>
  <c r="S40"/>
  <c r="S22"/>
  <c r="R40"/>
  <c r="R27"/>
  <c r="R24"/>
  <c r="R8"/>
  <c r="R6"/>
  <c r="R19"/>
  <c r="R34"/>
  <c r="R15"/>
  <c r="P15" s="1"/>
  <c r="R11"/>
  <c r="R12"/>
  <c r="R14"/>
  <c r="R20"/>
  <c r="R17"/>
  <c r="R21"/>
  <c r="R26"/>
  <c r="R7"/>
  <c r="P7" s="1"/>
  <c r="R30"/>
  <c r="R42"/>
  <c r="R37"/>
  <c r="R29"/>
  <c r="P29" s="1"/>
  <c r="R10"/>
  <c r="R31"/>
  <c r="R64"/>
  <c r="R48"/>
  <c r="R73"/>
  <c r="R69"/>
  <c r="R25"/>
  <c r="R39"/>
  <c r="Q22"/>
  <c r="P22" s="1"/>
  <c r="Q40"/>
  <c r="Q28"/>
  <c r="Q16"/>
  <c r="P16" s="1"/>
  <c r="Q49"/>
  <c r="Q38"/>
  <c r="P38" s="1"/>
  <c r="Q27"/>
  <c r="Q24"/>
  <c r="Q43"/>
  <c r="P43" s="1"/>
  <c r="Q53"/>
  <c r="P53" s="1"/>
  <c r="Q41"/>
  <c r="P41" s="1"/>
  <c r="Q8"/>
  <c r="Q6"/>
  <c r="P6" s="1"/>
  <c r="Q19"/>
  <c r="P19" s="1"/>
  <c r="Q34"/>
  <c r="Q44"/>
  <c r="P44" s="1"/>
  <c r="Q15"/>
  <c r="Q62"/>
  <c r="P62" s="1"/>
  <c r="Q47"/>
  <c r="P47" s="1"/>
  <c r="Q11"/>
  <c r="Q59"/>
  <c r="P59" s="1"/>
  <c r="Q61"/>
  <c r="P61" s="1"/>
  <c r="Q50"/>
  <c r="P50" s="1"/>
  <c r="Q74"/>
  <c r="P74" s="1"/>
  <c r="Q12"/>
  <c r="Q55"/>
  <c r="P55" s="1"/>
  <c r="Q70"/>
  <c r="P70" s="1"/>
  <c r="Q51"/>
  <c r="P51" s="1"/>
  <c r="Q72"/>
  <c r="Q71"/>
  <c r="P71" s="1"/>
  <c r="Q68"/>
  <c r="P68" s="1"/>
  <c r="Q14"/>
  <c r="Q20"/>
  <c r="Q17"/>
  <c r="P17" s="1"/>
  <c r="Q21"/>
  <c r="Q26"/>
  <c r="Q36"/>
  <c r="P36" s="1"/>
  <c r="Q67"/>
  <c r="P67" s="1"/>
  <c r="Q63"/>
  <c r="P63" s="1"/>
  <c r="Q23"/>
  <c r="P23" s="1"/>
  <c r="Q33"/>
  <c r="P33" s="1"/>
  <c r="Q65"/>
  <c r="P65" s="1"/>
  <c r="Q60"/>
  <c r="P60" s="1"/>
  <c r="Q32"/>
  <c r="P32" s="1"/>
  <c r="Q7"/>
  <c r="Q66"/>
  <c r="P66" s="1"/>
  <c r="Q52"/>
  <c r="P52" s="1"/>
  <c r="Q54"/>
  <c r="P54" s="1"/>
  <c r="Q46"/>
  <c r="P46" s="1"/>
  <c r="Q30"/>
  <c r="P30" s="1"/>
  <c r="Q42"/>
  <c r="Q37"/>
  <c r="Q29"/>
  <c r="Q10"/>
  <c r="Q31"/>
  <c r="Q64"/>
  <c r="P64" s="1"/>
  <c r="Q58"/>
  <c r="P58" s="1"/>
  <c r="Q48"/>
  <c r="Q73"/>
  <c r="Q69"/>
  <c r="Q25"/>
  <c r="Q39"/>
  <c r="P72"/>
  <c r="P49"/>
  <c r="P28"/>
  <c r="O40"/>
  <c r="O27"/>
  <c r="O24"/>
  <c r="O8"/>
  <c r="O6"/>
  <c r="O19"/>
  <c r="O34"/>
  <c r="O15"/>
  <c r="O11"/>
  <c r="O12"/>
  <c r="O14"/>
  <c r="O20"/>
  <c r="O17"/>
  <c r="O21"/>
  <c r="O26"/>
  <c r="O7"/>
  <c r="O30"/>
  <c r="O42"/>
  <c r="O37"/>
  <c r="O29"/>
  <c r="O10"/>
  <c r="O31"/>
  <c r="O64"/>
  <c r="O48"/>
  <c r="O73"/>
  <c r="O69"/>
  <c r="O25"/>
  <c r="O39"/>
  <c r="N40"/>
  <c r="N28"/>
  <c r="M28" s="1"/>
  <c r="N16"/>
  <c r="M16" s="1"/>
  <c r="N49"/>
  <c r="M49" s="1"/>
  <c r="N38"/>
  <c r="N27"/>
  <c r="M27" s="1"/>
  <c r="N24"/>
  <c r="M24" s="1"/>
  <c r="N43"/>
  <c r="M43" s="1"/>
  <c r="N53"/>
  <c r="M53" s="1"/>
  <c r="N41"/>
  <c r="M41" s="1"/>
  <c r="N8"/>
  <c r="N6"/>
  <c r="N19"/>
  <c r="N34"/>
  <c r="N44"/>
  <c r="M44" s="1"/>
  <c r="N15"/>
  <c r="N62"/>
  <c r="M62" s="1"/>
  <c r="N47"/>
  <c r="M47" s="1"/>
  <c r="N11"/>
  <c r="N59"/>
  <c r="M59" s="1"/>
  <c r="N61"/>
  <c r="N50"/>
  <c r="M50" s="1"/>
  <c r="N74"/>
  <c r="M74" s="1"/>
  <c r="N12"/>
  <c r="N55"/>
  <c r="N70"/>
  <c r="M70" s="1"/>
  <c r="N51"/>
  <c r="M51" s="1"/>
  <c r="N72"/>
  <c r="M72" s="1"/>
  <c r="N71"/>
  <c r="M71" s="1"/>
  <c r="N68"/>
  <c r="M68" s="1"/>
  <c r="N14"/>
  <c r="M14" s="1"/>
  <c r="N20"/>
  <c r="N17"/>
  <c r="M17" s="1"/>
  <c r="N21"/>
  <c r="M21" s="1"/>
  <c r="N26"/>
  <c r="N36"/>
  <c r="M36" s="1"/>
  <c r="N67"/>
  <c r="N63"/>
  <c r="M63" s="1"/>
  <c r="N23"/>
  <c r="M23" s="1"/>
  <c r="N33"/>
  <c r="N65"/>
  <c r="M65" s="1"/>
  <c r="N60"/>
  <c r="M60" s="1"/>
  <c r="N32"/>
  <c r="M32" s="1"/>
  <c r="N7"/>
  <c r="N66"/>
  <c r="M66" s="1"/>
  <c r="N52"/>
  <c r="M52" s="1"/>
  <c r="N54"/>
  <c r="M54" s="1"/>
  <c r="N46"/>
  <c r="M46" s="1"/>
  <c r="N30"/>
  <c r="M30" s="1"/>
  <c r="N42"/>
  <c r="M42" s="1"/>
  <c r="N37"/>
  <c r="M37" s="1"/>
  <c r="N29"/>
  <c r="M29" s="1"/>
  <c r="N10"/>
  <c r="N31"/>
  <c r="M31" s="1"/>
  <c r="N64"/>
  <c r="N58"/>
  <c r="M58" s="1"/>
  <c r="N48"/>
  <c r="N73"/>
  <c r="N69"/>
  <c r="M69" s="1"/>
  <c r="N25"/>
  <c r="N39"/>
  <c r="M10"/>
  <c r="M33"/>
  <c r="M67"/>
  <c r="M55"/>
  <c r="M61"/>
  <c r="M38"/>
  <c r="L40"/>
  <c r="L27"/>
  <c r="L24"/>
  <c r="L8"/>
  <c r="L6"/>
  <c r="L19"/>
  <c r="L34"/>
  <c r="L15"/>
  <c r="L11"/>
  <c r="L12"/>
  <c r="L14"/>
  <c r="L20"/>
  <c r="L17"/>
  <c r="L21"/>
  <c r="L26"/>
  <c r="L7"/>
  <c r="L30"/>
  <c r="L37"/>
  <c r="L29"/>
  <c r="L10"/>
  <c r="L31"/>
  <c r="L69"/>
  <c r="L25"/>
  <c r="L39"/>
  <c r="K40"/>
  <c r="K27"/>
  <c r="K24"/>
  <c r="K53"/>
  <c r="K8"/>
  <c r="K6"/>
  <c r="K19"/>
  <c r="K34"/>
  <c r="K15"/>
  <c r="K11"/>
  <c r="K61"/>
  <c r="K12"/>
  <c r="K72"/>
  <c r="K71"/>
  <c r="K68"/>
  <c r="K14"/>
  <c r="K20"/>
  <c r="K17"/>
  <c r="K21"/>
  <c r="K26"/>
  <c r="K67"/>
  <c r="K7"/>
  <c r="K46"/>
  <c r="K30"/>
  <c r="K37"/>
  <c r="K29"/>
  <c r="K10"/>
  <c r="K31"/>
  <c r="K58"/>
  <c r="K73"/>
  <c r="K69"/>
  <c r="K25"/>
  <c r="P39" l="1"/>
  <c r="M12"/>
  <c r="M19"/>
  <c r="P12"/>
  <c r="M26"/>
  <c r="P8"/>
  <c r="M7"/>
  <c r="M20"/>
  <c r="P25"/>
  <c r="P73"/>
  <c r="P11"/>
  <c r="M40"/>
  <c r="P34"/>
  <c r="P40"/>
  <c r="P27"/>
  <c r="P24"/>
  <c r="P14"/>
  <c r="P20"/>
  <c r="P21"/>
  <c r="P26"/>
  <c r="P42"/>
  <c r="P37"/>
  <c r="P10"/>
  <c r="P31"/>
  <c r="P48"/>
  <c r="P69"/>
  <c r="M8"/>
  <c r="M6"/>
  <c r="M34"/>
  <c r="M15"/>
  <c r="M11"/>
  <c r="M64"/>
  <c r="M48"/>
  <c r="M73"/>
  <c r="M25"/>
  <c r="M39"/>
  <c r="K39"/>
  <c r="J39" s="1"/>
  <c r="J25"/>
  <c r="J69"/>
  <c r="J73"/>
  <c r="J58"/>
  <c r="J31"/>
  <c r="J10"/>
  <c r="J29"/>
  <c r="J37"/>
  <c r="J30"/>
  <c r="J46"/>
  <c r="J7"/>
  <c r="J67"/>
  <c r="J26"/>
  <c r="J21"/>
  <c r="J17"/>
  <c r="J20"/>
  <c r="J14"/>
  <c r="J68"/>
  <c r="J71"/>
  <c r="J72"/>
  <c r="J12"/>
  <c r="J61"/>
  <c r="J11"/>
  <c r="J15"/>
  <c r="J34"/>
  <c r="J19"/>
  <c r="J6"/>
  <c r="J8"/>
  <c r="J53"/>
  <c r="J24"/>
  <c r="J27"/>
  <c r="J40"/>
  <c r="I6"/>
  <c r="I19"/>
  <c r="H6"/>
  <c r="H19"/>
  <c r="G6"/>
  <c r="G19"/>
  <c r="I12"/>
  <c r="H12"/>
  <c r="G12"/>
  <c r="I30"/>
  <c r="H30"/>
  <c r="G30"/>
  <c r="M76" l="1"/>
  <c r="X40"/>
  <c r="X27"/>
  <c r="X24"/>
  <c r="X8"/>
  <c r="X6"/>
  <c r="X19"/>
  <c r="X34"/>
  <c r="X15"/>
  <c r="X35"/>
  <c r="X47"/>
  <c r="X45"/>
  <c r="X11"/>
  <c r="X12"/>
  <c r="X13"/>
  <c r="X9"/>
  <c r="X14"/>
  <c r="X20"/>
  <c r="X17"/>
  <c r="X21"/>
  <c r="X26"/>
  <c r="X7"/>
  <c r="X30"/>
  <c r="X18"/>
  <c r="X56"/>
  <c r="X42"/>
  <c r="X37"/>
  <c r="X29"/>
  <c r="X10"/>
  <c r="X31"/>
  <c r="X64"/>
  <c r="X48"/>
  <c r="X57"/>
  <c r="X73"/>
  <c r="X69"/>
  <c r="X25"/>
  <c r="X39"/>
  <c r="W22"/>
  <c r="W40"/>
  <c r="W28"/>
  <c r="W16"/>
  <c r="W49"/>
  <c r="W38"/>
  <c r="W27"/>
  <c r="W24"/>
  <c r="W43"/>
  <c r="W53"/>
  <c r="W41"/>
  <c r="W8"/>
  <c r="W6"/>
  <c r="W19"/>
  <c r="W34"/>
  <c r="W44"/>
  <c r="W15"/>
  <c r="W35"/>
  <c r="W62"/>
  <c r="W47"/>
  <c r="W45"/>
  <c r="W11"/>
  <c r="W59"/>
  <c r="W61"/>
  <c r="W50"/>
  <c r="W74"/>
  <c r="W12"/>
  <c r="W55"/>
  <c r="W70"/>
  <c r="W51"/>
  <c r="W75"/>
  <c r="W72"/>
  <c r="W71"/>
  <c r="W68"/>
  <c r="W13"/>
  <c r="W9"/>
  <c r="W14"/>
  <c r="W20"/>
  <c r="W17"/>
  <c r="W21"/>
  <c r="W26"/>
  <c r="W36"/>
  <c r="W67"/>
  <c r="W63"/>
  <c r="W23"/>
  <c r="W33"/>
  <c r="W65"/>
  <c r="W60"/>
  <c r="W32"/>
  <c r="W7"/>
  <c r="W66"/>
  <c r="W52"/>
  <c r="W54"/>
  <c r="W46"/>
  <c r="W30"/>
  <c r="W18"/>
  <c r="W56"/>
  <c r="W42"/>
  <c r="W37"/>
  <c r="W29"/>
  <c r="W10"/>
  <c r="W31"/>
  <c r="W64"/>
  <c r="W58"/>
  <c r="W48"/>
  <c r="W57"/>
  <c r="W73"/>
  <c r="W69"/>
  <c r="W25"/>
  <c r="W39"/>
  <c r="V39" l="1"/>
  <c r="G12" i="12"/>
  <c r="F12" s="1"/>
  <c r="H5"/>
  <c r="N5" s="1"/>
  <c r="I11"/>
  <c r="D11"/>
  <c r="I7"/>
  <c r="D7"/>
  <c r="I6"/>
  <c r="L6" s="1"/>
  <c r="I8"/>
  <c r="I9"/>
  <c r="F8"/>
  <c r="L8" l="1"/>
  <c r="I5"/>
  <c r="T223" i="9" l="1"/>
  <c r="U223"/>
  <c r="T173"/>
  <c r="U173"/>
  <c r="V49"/>
  <c r="V104"/>
  <c r="V42"/>
  <c r="V154"/>
  <c r="V100"/>
  <c r="V136"/>
  <c r="V222"/>
  <c r="V152"/>
  <c r="V70"/>
  <c r="V149"/>
  <c r="V28"/>
  <c r="V123"/>
  <c r="V93"/>
  <c r="X55"/>
  <c r="V55" s="1"/>
  <c r="V14"/>
  <c r="V130"/>
  <c r="V34"/>
  <c r="V13"/>
  <c r="V134"/>
  <c r="V44"/>
  <c r="V31"/>
  <c r="V33"/>
  <c r="V221"/>
  <c r="V220"/>
  <c r="W90"/>
  <c r="V90" s="1"/>
  <c r="V135"/>
  <c r="V121"/>
  <c r="V219"/>
  <c r="V215"/>
  <c r="V218"/>
  <c r="W217"/>
  <c r="V217" s="1"/>
  <c r="V216"/>
  <c r="V20"/>
  <c r="V214"/>
  <c r="V85"/>
  <c r="V52"/>
  <c r="V108"/>
  <c r="V80"/>
  <c r="V32"/>
  <c r="V138"/>
  <c r="V163"/>
  <c r="V210"/>
  <c r="V97"/>
  <c r="V107"/>
  <c r="V78"/>
  <c r="V36"/>
  <c r="V207"/>
  <c r="V206"/>
  <c r="V79"/>
  <c r="V209"/>
  <c r="V208"/>
  <c r="V167"/>
  <c r="V69"/>
  <c r="V96"/>
  <c r="V159"/>
  <c r="V166"/>
  <c r="X151"/>
  <c r="V151" s="1"/>
  <c r="V10"/>
  <c r="V155"/>
  <c r="V113"/>
  <c r="V203"/>
  <c r="X106"/>
  <c r="W106"/>
  <c r="V204"/>
  <c r="V82"/>
  <c r="V202"/>
  <c r="V201"/>
  <c r="V196"/>
  <c r="W58"/>
  <c r="V58" s="1"/>
  <c r="V165"/>
  <c r="V200"/>
  <c r="V27"/>
  <c r="V24"/>
  <c r="V199"/>
  <c r="V8"/>
  <c r="V116"/>
  <c r="V21"/>
  <c r="V64"/>
  <c r="V140"/>
  <c r="V12"/>
  <c r="V72"/>
  <c r="V19"/>
  <c r="V37"/>
  <c r="V198"/>
  <c r="V127"/>
  <c r="V197"/>
  <c r="V128"/>
  <c r="V66"/>
  <c r="V23"/>
  <c r="W192"/>
  <c r="V192" s="1"/>
  <c r="V142"/>
  <c r="V54"/>
  <c r="V194"/>
  <c r="V170"/>
  <c r="V133"/>
  <c r="V125"/>
  <c r="V9"/>
  <c r="V156"/>
  <c r="V109"/>
  <c r="V193"/>
  <c r="V45"/>
  <c r="V191"/>
  <c r="V18"/>
  <c r="V41"/>
  <c r="V88"/>
  <c r="V126"/>
  <c r="V137"/>
  <c r="V98"/>
  <c r="V30"/>
  <c r="V16"/>
  <c r="V110"/>
  <c r="V164"/>
  <c r="V25"/>
  <c r="V188"/>
  <c r="V190"/>
  <c r="W40"/>
  <c r="V40" s="1"/>
  <c r="V115"/>
  <c r="V122"/>
  <c r="V189"/>
  <c r="V83"/>
  <c r="V15"/>
  <c r="V61"/>
  <c r="V60"/>
  <c r="V86"/>
  <c r="V187"/>
  <c r="X68"/>
  <c r="V161"/>
  <c r="V144"/>
  <c r="V162"/>
  <c r="V185"/>
  <c r="V89"/>
  <c r="V169"/>
  <c r="V26"/>
  <c r="V186"/>
  <c r="V56"/>
  <c r="V168"/>
  <c r="V153"/>
  <c r="V184"/>
  <c r="V146"/>
  <c r="V183"/>
  <c r="V131"/>
  <c r="V103"/>
  <c r="V157"/>
  <c r="V141"/>
  <c r="V145"/>
  <c r="V77"/>
  <c r="V160"/>
  <c r="V102"/>
  <c r="V182"/>
  <c r="V74"/>
  <c r="V53"/>
  <c r="V114"/>
  <c r="V181"/>
  <c r="V180"/>
  <c r="V11"/>
  <c r="V117"/>
  <c r="V75"/>
  <c r="V47"/>
  <c r="V179"/>
  <c r="V92"/>
  <c r="V87"/>
  <c r="V39"/>
  <c r="V65"/>
  <c r="V76"/>
  <c r="V118"/>
  <c r="V59"/>
  <c r="V129"/>
  <c r="V119"/>
  <c r="V213"/>
  <c r="X211"/>
  <c r="V211" s="1"/>
  <c r="V29"/>
  <c r="V63"/>
  <c r="V7"/>
  <c r="V178"/>
  <c r="V148"/>
  <c r="V67"/>
  <c r="V150"/>
  <c r="V50"/>
  <c r="V139"/>
  <c r="V177"/>
  <c r="V111"/>
  <c r="V17"/>
  <c r="V176"/>
  <c r="V48"/>
  <c r="V71"/>
  <c r="V143"/>
  <c r="V22"/>
  <c r="V43"/>
  <c r="V57"/>
  <c r="V51"/>
  <c r="V95"/>
  <c r="V99"/>
  <c r="V35"/>
  <c r="V171"/>
  <c r="V120"/>
  <c r="V38"/>
  <c r="V84"/>
  <c r="V81"/>
  <c r="V132"/>
  <c r="V112"/>
  <c r="V46"/>
  <c r="V172"/>
  <c r="V158"/>
  <c r="V175"/>
  <c r="V124"/>
  <c r="V147"/>
  <c r="V105"/>
  <c r="V101"/>
  <c r="V91"/>
  <c r="V62"/>
  <c r="V73"/>
  <c r="V94"/>
  <c r="C7" i="12"/>
  <c r="C11"/>
  <c r="C12"/>
  <c r="T29" i="10"/>
  <c r="X29"/>
  <c r="W29"/>
  <c r="V29"/>
  <c r="W25"/>
  <c r="V25"/>
  <c r="X25" s="1"/>
  <c r="W31"/>
  <c r="X26"/>
  <c r="W26"/>
  <c r="W9"/>
  <c r="X9" s="1"/>
  <c r="V9"/>
  <c r="W10"/>
  <c r="V10"/>
  <c r="W17"/>
  <c r="V17"/>
  <c r="X12"/>
  <c r="W12"/>
  <c r="V12"/>
  <c r="W7"/>
  <c r="V7"/>
  <c r="X7" s="1"/>
  <c r="X8"/>
  <c r="W8"/>
  <c r="W16"/>
  <c r="V16"/>
  <c r="X19"/>
  <c r="V19" s="1"/>
  <c r="W19"/>
  <c r="X22"/>
  <c r="V22" s="1"/>
  <c r="W22"/>
  <c r="W11"/>
  <c r="V11"/>
  <c r="W24"/>
  <c r="V24"/>
  <c r="W18"/>
  <c r="V18"/>
  <c r="X18" s="1"/>
  <c r="W21"/>
  <c r="X21" s="1"/>
  <c r="V21"/>
  <c r="W15"/>
  <c r="V15"/>
  <c r="X27"/>
  <c r="W27"/>
  <c r="V27"/>
  <c r="X14"/>
  <c r="W14"/>
  <c r="V23"/>
  <c r="X23" s="1"/>
  <c r="X28"/>
  <c r="W28"/>
  <c r="V28" s="1"/>
  <c r="X13"/>
  <c r="W13"/>
  <c r="V13" s="1"/>
  <c r="X20"/>
  <c r="V20" s="1"/>
  <c r="W20"/>
  <c r="X30"/>
  <c r="V30" s="1"/>
  <c r="W30"/>
  <c r="V68" i="9" l="1"/>
  <c r="X173"/>
  <c r="W32" i="10"/>
  <c r="V14"/>
  <c r="X15"/>
  <c r="X24"/>
  <c r="X16"/>
  <c r="X10"/>
  <c r="X11"/>
  <c r="V8"/>
  <c r="X17"/>
  <c r="V26"/>
  <c r="V223" i="9"/>
  <c r="W223"/>
  <c r="X223"/>
  <c r="W173"/>
  <c r="V106"/>
  <c r="W11" i="7"/>
  <c r="X11"/>
  <c r="U11"/>
  <c r="V6"/>
  <c r="V8"/>
  <c r="V9"/>
  <c r="V10"/>
  <c r="V7"/>
  <c r="V11" l="1"/>
  <c r="V173" i="9"/>
  <c r="I4" i="12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D13" i="12" s="1"/>
  <c r="C13" s="1"/>
  <c r="F22" i="2"/>
  <c r="AE22" s="1"/>
  <c r="F40"/>
  <c r="AE40" s="1"/>
  <c r="F28"/>
  <c r="AE28" s="1"/>
  <c r="F16"/>
  <c r="AE16" s="1"/>
  <c r="F49"/>
  <c r="AE49" s="1"/>
  <c r="F38"/>
  <c r="AE38" s="1"/>
  <c r="F27"/>
  <c r="AE27" s="1"/>
  <c r="F24"/>
  <c r="AE24" s="1"/>
  <c r="F43"/>
  <c r="AE43" s="1"/>
  <c r="F53"/>
  <c r="AE53" s="1"/>
  <c r="F41"/>
  <c r="AE41" s="1"/>
  <c r="F8"/>
  <c r="AE8" s="1"/>
  <c r="F6"/>
  <c r="AE6" s="1"/>
  <c r="F19"/>
  <c r="AE19" s="1"/>
  <c r="F34"/>
  <c r="AE34" s="1"/>
  <c r="F44"/>
  <c r="AE44" s="1"/>
  <c r="F15"/>
  <c r="AE15" s="1"/>
  <c r="F35"/>
  <c r="AE35" s="1"/>
  <c r="F62"/>
  <c r="AE62" s="1"/>
  <c r="F47"/>
  <c r="AE47" s="1"/>
  <c r="F45"/>
  <c r="AE45" s="1"/>
  <c r="F11"/>
  <c r="AE11" s="1"/>
  <c r="F59"/>
  <c r="AE59" s="1"/>
  <c r="F61"/>
  <c r="AE61" s="1"/>
  <c r="F50"/>
  <c r="AE50" s="1"/>
  <c r="F74"/>
  <c r="AE74" s="1"/>
  <c r="F12"/>
  <c r="AE12" s="1"/>
  <c r="F55"/>
  <c r="AE55" s="1"/>
  <c r="F70"/>
  <c r="AE70" s="1"/>
  <c r="F51"/>
  <c r="AE51" s="1"/>
  <c r="F75"/>
  <c r="AE75" s="1"/>
  <c r="F72"/>
  <c r="AE72" s="1"/>
  <c r="F71"/>
  <c r="AE71" s="1"/>
  <c r="F68"/>
  <c r="AE68" s="1"/>
  <c r="F13"/>
  <c r="AE13" s="1"/>
  <c r="F9"/>
  <c r="AE9" s="1"/>
  <c r="F14"/>
  <c r="AE14" s="1"/>
  <c r="F20"/>
  <c r="AE20" s="1"/>
  <c r="F17"/>
  <c r="AE17" s="1"/>
  <c r="F21"/>
  <c r="AE21" s="1"/>
  <c r="F26"/>
  <c r="AE26" s="1"/>
  <c r="F36"/>
  <c r="AE36" s="1"/>
  <c r="F67"/>
  <c r="AE67" s="1"/>
  <c r="F63"/>
  <c r="AE63" s="1"/>
  <c r="F23"/>
  <c r="AE23" s="1"/>
  <c r="F33"/>
  <c r="AE33" s="1"/>
  <c r="F65"/>
  <c r="AE65" s="1"/>
  <c r="F60"/>
  <c r="AE60" s="1"/>
  <c r="F32"/>
  <c r="AE32" s="1"/>
  <c r="F7"/>
  <c r="AE7" s="1"/>
  <c r="F66"/>
  <c r="AE66" s="1"/>
  <c r="F52"/>
  <c r="AE52" s="1"/>
  <c r="F54"/>
  <c r="AE54" s="1"/>
  <c r="F46"/>
  <c r="AE46" s="1"/>
  <c r="F30"/>
  <c r="AE30" s="1"/>
  <c r="F18"/>
  <c r="AE18" s="1"/>
  <c r="F56"/>
  <c r="AE56" s="1"/>
  <c r="F42"/>
  <c r="AE42" s="1"/>
  <c r="F37"/>
  <c r="AE37" s="1"/>
  <c r="F29"/>
  <c r="AE29" s="1"/>
  <c r="F10"/>
  <c r="AE10" s="1"/>
  <c r="F31"/>
  <c r="AE31" s="1"/>
  <c r="F64"/>
  <c r="AE64" s="1"/>
  <c r="F58"/>
  <c r="AE58" s="1"/>
  <c r="F48"/>
  <c r="AE48" s="1"/>
  <c r="F57"/>
  <c r="AE57" s="1"/>
  <c r="F73"/>
  <c r="AE73" s="1"/>
  <c r="F69"/>
  <c r="AE69" s="1"/>
  <c r="F25"/>
  <c r="AE25" s="1"/>
  <c r="F39"/>
  <c r="AE39" s="1"/>
  <c r="F76" l="1"/>
  <c r="G13" i="12" s="1"/>
  <c r="P76" i="2"/>
  <c r="Q76"/>
  <c r="R76"/>
  <c r="S76"/>
  <c r="T76"/>
  <c r="U76"/>
  <c r="W76"/>
  <c r="X76"/>
  <c r="O76"/>
  <c r="V22"/>
  <c r="V40"/>
  <c r="V28"/>
  <c r="V16"/>
  <c r="V49"/>
  <c r="V38"/>
  <c r="V27"/>
  <c r="V24"/>
  <c r="V43"/>
  <c r="V53"/>
  <c r="V41"/>
  <c r="V8"/>
  <c r="V6"/>
  <c r="V19"/>
  <c r="V34"/>
  <c r="V44"/>
  <c r="V15"/>
  <c r="V35"/>
  <c r="V62"/>
  <c r="V47"/>
  <c r="V45"/>
  <c r="V11"/>
  <c r="V59"/>
  <c r="V61"/>
  <c r="V50"/>
  <c r="V74"/>
  <c r="V12"/>
  <c r="V55"/>
  <c r="V70"/>
  <c r="V51"/>
  <c r="V75"/>
  <c r="V72"/>
  <c r="V71"/>
  <c r="V68"/>
  <c r="V13"/>
  <c r="V9"/>
  <c r="V14"/>
  <c r="V20"/>
  <c r="V17"/>
  <c r="V21"/>
  <c r="V26"/>
  <c r="V36"/>
  <c r="V67"/>
  <c r="V63"/>
  <c r="V23"/>
  <c r="V33"/>
  <c r="V65"/>
  <c r="V60"/>
  <c r="V32"/>
  <c r="V7"/>
  <c r="V66"/>
  <c r="V52"/>
  <c r="V54"/>
  <c r="V46"/>
  <c r="V30"/>
  <c r="V18"/>
  <c r="V56"/>
  <c r="V42"/>
  <c r="V37"/>
  <c r="V29"/>
  <c r="V10"/>
  <c r="V31"/>
  <c r="V64"/>
  <c r="V58"/>
  <c r="V48"/>
  <c r="V57"/>
  <c r="V73"/>
  <c r="V69"/>
  <c r="V25"/>
  <c r="F13" i="12" l="1"/>
  <c r="M13"/>
  <c r="V76" i="2"/>
  <c r="I13" i="12" s="1"/>
  <c r="I76" i="2"/>
  <c r="N76"/>
  <c r="L76"/>
  <c r="K76"/>
  <c r="J76"/>
  <c r="H76"/>
  <c r="G76"/>
  <c r="L13" i="12" l="1"/>
  <c r="V48" i="8"/>
  <c r="V47"/>
  <c r="V46"/>
  <c r="V49" s="1"/>
  <c r="G49"/>
  <c r="H49"/>
  <c r="I49"/>
  <c r="J49"/>
  <c r="K49"/>
  <c r="L49"/>
  <c r="M49"/>
  <c r="N49"/>
  <c r="O49"/>
  <c r="P49"/>
  <c r="Q49"/>
  <c r="R49"/>
  <c r="T49"/>
  <c r="U49"/>
  <c r="W49"/>
  <c r="X49"/>
  <c r="H44"/>
  <c r="I44"/>
  <c r="K44"/>
  <c r="L44"/>
  <c r="N44"/>
  <c r="O44"/>
  <c r="Q44"/>
  <c r="R44"/>
  <c r="T44"/>
  <c r="U44"/>
  <c r="W44"/>
  <c r="X44"/>
  <c r="V10"/>
  <c r="V40"/>
  <c r="V41"/>
  <c r="V31"/>
  <c r="V30"/>
  <c r="V36"/>
  <c r="V22"/>
  <c r="V11"/>
  <c r="V24"/>
  <c r="V28"/>
  <c r="V39"/>
  <c r="V38"/>
  <c r="V27"/>
  <c r="V23"/>
  <c r="V14"/>
  <c r="V42"/>
  <c r="V43"/>
  <c r="V29"/>
  <c r="V19"/>
  <c r="V26"/>
  <c r="V17"/>
  <c r="V13"/>
  <c r="V32"/>
  <c r="V35"/>
  <c r="V18"/>
  <c r="V20"/>
  <c r="V16"/>
  <c r="V33"/>
  <c r="V9"/>
  <c r="V21"/>
  <c r="V25"/>
  <c r="V34"/>
  <c r="V15"/>
  <c r="V37"/>
  <c r="V12"/>
  <c r="X11" i="6"/>
  <c r="W11"/>
  <c r="V7"/>
  <c r="V6"/>
  <c r="V11" s="1"/>
  <c r="V8"/>
  <c r="V10"/>
  <c r="V9"/>
  <c r="U25" i="5"/>
  <c r="U18"/>
  <c r="H25"/>
  <c r="I25"/>
  <c r="K25"/>
  <c r="L25"/>
  <c r="N25"/>
  <c r="O25"/>
  <c r="Q25"/>
  <c r="R25"/>
  <c r="T25"/>
  <c r="W25"/>
  <c r="X25"/>
  <c r="H18"/>
  <c r="I18"/>
  <c r="K18"/>
  <c r="L18"/>
  <c r="N18"/>
  <c r="O18"/>
  <c r="Q18"/>
  <c r="R18"/>
  <c r="T18"/>
  <c r="W18"/>
  <c r="X18"/>
  <c r="V24"/>
  <c r="V23"/>
  <c r="V22"/>
  <c r="V21"/>
  <c r="V20"/>
  <c r="V25" s="1"/>
  <c r="V12"/>
  <c r="V9"/>
  <c r="V14"/>
  <c r="V13"/>
  <c r="V7"/>
  <c r="V15"/>
  <c r="V17"/>
  <c r="V11"/>
  <c r="V10"/>
  <c r="V8"/>
  <c r="V16"/>
  <c r="V30" i="11"/>
  <c r="W30"/>
  <c r="X30"/>
  <c r="AE27"/>
  <c r="V25"/>
  <c r="X25"/>
  <c r="W25"/>
  <c r="S25"/>
  <c r="G30"/>
  <c r="H30"/>
  <c r="I30"/>
  <c r="J30"/>
  <c r="K30"/>
  <c r="L30"/>
  <c r="M30"/>
  <c r="N30"/>
  <c r="O30"/>
  <c r="Q30"/>
  <c r="R30"/>
  <c r="T30"/>
  <c r="V44" i="8" l="1"/>
  <c r="V18" i="5"/>
  <c r="F10" i="12"/>
  <c r="I10"/>
  <c r="K14"/>
  <c r="L9" i="13"/>
  <c r="K9"/>
  <c r="I9"/>
  <c r="H9"/>
  <c r="G9"/>
  <c r="F9"/>
  <c r="J8"/>
  <c r="J9" s="1"/>
  <c r="G8"/>
  <c r="A8" i="11"/>
  <c r="A9" s="1"/>
  <c r="A10" s="1"/>
  <c r="A11" s="1"/>
  <c r="A12" s="1"/>
  <c r="A13" s="1"/>
  <c r="A14" s="1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0" i="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8" i="7"/>
  <c r="A9" s="1"/>
  <c r="A10" s="1"/>
  <c r="A7"/>
  <c r="A8" i="6"/>
  <c r="A9" s="1"/>
  <c r="A10" s="1"/>
  <c r="A7"/>
  <c r="A8" i="5"/>
  <c r="A9" s="1"/>
  <c r="A10" s="1"/>
  <c r="A11" s="1"/>
  <c r="A12" s="1"/>
  <c r="A13" s="1"/>
  <c r="A14" s="1"/>
  <c r="A15" s="1"/>
  <c r="A16" s="1"/>
  <c r="A17" s="1"/>
  <c r="A9" i="1"/>
  <c r="A10" s="1"/>
  <c r="A11" s="1"/>
  <c r="A12" s="1"/>
  <c r="A13" s="1"/>
  <c r="A14" s="1"/>
  <c r="A15" s="1"/>
  <c r="A8"/>
  <c r="A9" i="4"/>
  <c r="A10" s="1"/>
  <c r="A11" s="1"/>
  <c r="A12" s="1"/>
  <c r="A13" s="1"/>
  <c r="A14" s="1"/>
  <c r="A15" s="1"/>
  <c r="A16" s="1"/>
  <c r="A16" i="11" l="1"/>
  <c r="A17" s="1"/>
  <c r="A18" s="1"/>
  <c r="A19" s="1"/>
  <c r="A20" s="1"/>
  <c r="A21" s="1"/>
  <c r="A22" s="1"/>
  <c r="A23" s="1"/>
  <c r="A24" s="1"/>
  <c r="D10" i="12" s="1"/>
  <c r="C10" s="1"/>
  <c r="A15" i="11"/>
  <c r="A47" i="8"/>
  <c r="A48" s="1"/>
  <c r="E5" i="12" s="1"/>
  <c r="D5"/>
  <c r="A21" i="5"/>
  <c r="A22" s="1"/>
  <c r="A23" s="1"/>
  <c r="A24" s="1"/>
  <c r="E9" i="12" s="1"/>
  <c r="D9"/>
  <c r="A19" i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E6" i="12" s="1"/>
  <c r="D6"/>
  <c r="L10"/>
  <c r="A22" i="4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8" i="12" s="1"/>
  <c r="A5"/>
  <c r="A6" s="1"/>
  <c r="A7" s="1"/>
  <c r="A8" s="1"/>
  <c r="A9" s="1"/>
  <c r="A10" s="1"/>
  <c r="A11" s="1"/>
  <c r="A12" s="1"/>
  <c r="C5" l="1"/>
  <c r="C9"/>
  <c r="C6"/>
  <c r="E14"/>
  <c r="D14"/>
  <c r="C8"/>
  <c r="R190" i="9" l="1"/>
  <c r="R223" s="1"/>
  <c r="Q190"/>
  <c r="Q223" s="1"/>
  <c r="O190"/>
  <c r="N190"/>
  <c r="L190"/>
  <c r="K190"/>
  <c r="I190"/>
  <c r="H190"/>
  <c r="R141"/>
  <c r="Q141"/>
  <c r="O141"/>
  <c r="N141"/>
  <c r="L141"/>
  <c r="K141"/>
  <c r="I141"/>
  <c r="H141"/>
  <c r="R86"/>
  <c r="Q86"/>
  <c r="O86"/>
  <c r="N86"/>
  <c r="L86"/>
  <c r="K86"/>
  <c r="I86"/>
  <c r="H86"/>
  <c r="P160"/>
  <c r="M160"/>
  <c r="J160"/>
  <c r="G160"/>
  <c r="R131"/>
  <c r="Q131"/>
  <c r="O131"/>
  <c r="N131"/>
  <c r="L131"/>
  <c r="K131"/>
  <c r="I131"/>
  <c r="H131"/>
  <c r="R157"/>
  <c r="Q157"/>
  <c r="O157"/>
  <c r="N157"/>
  <c r="L157"/>
  <c r="K157"/>
  <c r="I157"/>
  <c r="H157"/>
  <c r="P113"/>
  <c r="M113"/>
  <c r="J113"/>
  <c r="G113"/>
  <c r="R95"/>
  <c r="Q95"/>
  <c r="O95"/>
  <c r="N95"/>
  <c r="L95"/>
  <c r="K95"/>
  <c r="I95"/>
  <c r="H95"/>
  <c r="R77"/>
  <c r="Q77"/>
  <c r="O77"/>
  <c r="N77"/>
  <c r="L77"/>
  <c r="K77"/>
  <c r="I77"/>
  <c r="H77"/>
  <c r="P145"/>
  <c r="M145"/>
  <c r="J145"/>
  <c r="G145"/>
  <c r="P146"/>
  <c r="M146"/>
  <c r="J146"/>
  <c r="G146"/>
  <c r="P161"/>
  <c r="M161"/>
  <c r="J161"/>
  <c r="G161"/>
  <c r="R68"/>
  <c r="Q68"/>
  <c r="O68"/>
  <c r="N68"/>
  <c r="L68"/>
  <c r="K68"/>
  <c r="I68"/>
  <c r="H68"/>
  <c r="R162"/>
  <c r="Q162"/>
  <c r="O162"/>
  <c r="N162"/>
  <c r="L162"/>
  <c r="K162"/>
  <c r="I162"/>
  <c r="H162"/>
  <c r="R99"/>
  <c r="Q99"/>
  <c r="O99"/>
  <c r="N99"/>
  <c r="L99"/>
  <c r="K99"/>
  <c r="I99"/>
  <c r="H99"/>
  <c r="R103"/>
  <c r="Q103"/>
  <c r="O103"/>
  <c r="N103"/>
  <c r="L103"/>
  <c r="K103"/>
  <c r="I103"/>
  <c r="H103"/>
  <c r="J190" l="1"/>
  <c r="G190"/>
  <c r="P141"/>
  <c r="P190"/>
  <c r="M190"/>
  <c r="G86"/>
  <c r="M86"/>
  <c r="G141"/>
  <c r="M141"/>
  <c r="J86"/>
  <c r="J141"/>
  <c r="G131"/>
  <c r="M131"/>
  <c r="P86"/>
  <c r="G77"/>
  <c r="M95"/>
  <c r="G157"/>
  <c r="M157"/>
  <c r="J131"/>
  <c r="P131"/>
  <c r="P157"/>
  <c r="J157"/>
  <c r="J95"/>
  <c r="M77"/>
  <c r="G95"/>
  <c r="G162"/>
  <c r="G68"/>
  <c r="M68"/>
  <c r="P95"/>
  <c r="J77"/>
  <c r="P77"/>
  <c r="J68"/>
  <c r="J103"/>
  <c r="P68"/>
  <c r="J99"/>
  <c r="P99"/>
  <c r="G99"/>
  <c r="M162"/>
  <c r="M99"/>
  <c r="J162"/>
  <c r="P162"/>
  <c r="M103"/>
  <c r="G103"/>
  <c r="P103"/>
  <c r="S222" l="1"/>
  <c r="S221"/>
  <c r="S220"/>
  <c r="S219"/>
  <c r="S218"/>
  <c r="S217"/>
  <c r="S216"/>
  <c r="S215"/>
  <c r="S214"/>
  <c r="S207" l="1"/>
  <c r="S206"/>
  <c r="S209"/>
  <c r="S208"/>
  <c r="S113"/>
  <c r="S204"/>
  <c r="S202"/>
  <c r="S201"/>
  <c r="S196"/>
  <c r="S198"/>
  <c r="S197"/>
  <c r="S156"/>
  <c r="S188"/>
  <c r="S189"/>
  <c r="S187"/>
  <c r="S161"/>
  <c r="S185"/>
  <c r="S146"/>
  <c r="S183"/>
  <c r="S145"/>
  <c r="S160"/>
  <c r="S179"/>
  <c r="S213"/>
  <c r="S211"/>
  <c r="S178"/>
  <c r="S150"/>
  <c r="S177"/>
  <c r="S176"/>
  <c r="S175"/>
  <c r="S49"/>
  <c r="S104"/>
  <c r="S42"/>
  <c r="S154"/>
  <c r="S100"/>
  <c r="S136"/>
  <c r="S152"/>
  <c r="S70"/>
  <c r="S149"/>
  <c r="S28"/>
  <c r="S123"/>
  <c r="S93"/>
  <c r="S55"/>
  <c r="S14"/>
  <c r="S130"/>
  <c r="S34"/>
  <c r="S13"/>
  <c r="S134"/>
  <c r="S44"/>
  <c r="S31"/>
  <c r="S33"/>
  <c r="S90"/>
  <c r="S135"/>
  <c r="S121"/>
  <c r="S20"/>
  <c r="S80"/>
  <c r="S85"/>
  <c r="S52"/>
  <c r="S108"/>
  <c r="S78"/>
  <c r="S32"/>
  <c r="S138"/>
  <c r="S163"/>
  <c r="S210"/>
  <c r="S97"/>
  <c r="S107"/>
  <c r="S36"/>
  <c r="S79"/>
  <c r="S167"/>
  <c r="S69"/>
  <c r="S96"/>
  <c r="S159"/>
  <c r="S166"/>
  <c r="S10"/>
  <c r="S151"/>
  <c r="S155"/>
  <c r="S203"/>
  <c r="S106"/>
  <c r="S82"/>
  <c r="S200"/>
  <c r="S27"/>
  <c r="S24"/>
  <c r="S199"/>
  <c r="S8"/>
  <c r="S116"/>
  <c r="S21"/>
  <c r="S64"/>
  <c r="S140"/>
  <c r="S12"/>
  <c r="S72"/>
  <c r="S19"/>
  <c r="S37"/>
  <c r="S127"/>
  <c r="S128"/>
  <c r="S66"/>
  <c r="S58"/>
  <c r="S165"/>
  <c r="S23"/>
  <c r="S54"/>
  <c r="S194"/>
  <c r="S170"/>
  <c r="S133"/>
  <c r="S125"/>
  <c r="S9"/>
  <c r="S109"/>
  <c r="S193"/>
  <c r="S45"/>
  <c r="S192"/>
  <c r="S142"/>
  <c r="S191"/>
  <c r="S41"/>
  <c r="S126"/>
  <c r="S137"/>
  <c r="S98"/>
  <c r="S18"/>
  <c r="S88"/>
  <c r="S30"/>
  <c r="S16"/>
  <c r="S190"/>
  <c r="S40"/>
  <c r="S115"/>
  <c r="S122"/>
  <c r="S83"/>
  <c r="S15"/>
  <c r="S110"/>
  <c r="S164"/>
  <c r="S25"/>
  <c r="S61"/>
  <c r="S60"/>
  <c r="S162"/>
  <c r="S86"/>
  <c r="S68"/>
  <c r="S144"/>
  <c r="S56"/>
  <c r="S168"/>
  <c r="S153"/>
  <c r="S89"/>
  <c r="S169"/>
  <c r="S26"/>
  <c r="S186"/>
  <c r="S184"/>
  <c r="S131"/>
  <c r="S103"/>
  <c r="S157"/>
  <c r="S141"/>
  <c r="S77"/>
  <c r="S102"/>
  <c r="S182"/>
  <c r="S74"/>
  <c r="S53"/>
  <c r="S114"/>
  <c r="S181"/>
  <c r="S180"/>
  <c r="S11"/>
  <c r="S117"/>
  <c r="S75"/>
  <c r="S47"/>
  <c r="S92"/>
  <c r="S76"/>
  <c r="S118"/>
  <c r="S59"/>
  <c r="S129"/>
  <c r="S119"/>
  <c r="S87"/>
  <c r="S39"/>
  <c r="S65"/>
  <c r="S29"/>
  <c r="S63"/>
  <c r="S7"/>
  <c r="S148"/>
  <c r="S67"/>
  <c r="S50"/>
  <c r="S111"/>
  <c r="S139"/>
  <c r="S17"/>
  <c r="S43"/>
  <c r="S57"/>
  <c r="S51"/>
  <c r="S48"/>
  <c r="S71"/>
  <c r="S143"/>
  <c r="S22"/>
  <c r="S95"/>
  <c r="S99"/>
  <c r="S171"/>
  <c r="S38"/>
  <c r="S81"/>
  <c r="S112"/>
  <c r="S46"/>
  <c r="S172"/>
  <c r="S158"/>
  <c r="S124"/>
  <c r="S101"/>
  <c r="S91"/>
  <c r="S62"/>
  <c r="S73"/>
  <c r="S35"/>
  <c r="S120"/>
  <c r="S84"/>
  <c r="S132"/>
  <c r="S147"/>
  <c r="S105"/>
  <c r="S94"/>
  <c r="S223" l="1"/>
  <c r="S173"/>
  <c r="S12" i="11" l="1"/>
  <c r="S21"/>
  <c r="S8"/>
  <c r="S22"/>
  <c r="S11"/>
  <c r="S10"/>
  <c r="S17"/>
  <c r="S29"/>
  <c r="S9"/>
  <c r="S16"/>
  <c r="S24"/>
  <c r="S20"/>
  <c r="S27"/>
  <c r="S30" s="1"/>
  <c r="S28"/>
  <c r="S23"/>
  <c r="S18"/>
  <c r="S19"/>
  <c r="S13"/>
  <c r="S7"/>
  <c r="S15"/>
  <c r="S14"/>
  <c r="S29" i="10"/>
  <c r="S25"/>
  <c r="U26"/>
  <c r="S9"/>
  <c r="S10"/>
  <c r="S17"/>
  <c r="S12"/>
  <c r="S7"/>
  <c r="U8"/>
  <c r="S16"/>
  <c r="U19"/>
  <c r="U22"/>
  <c r="S11"/>
  <c r="S24"/>
  <c r="S18"/>
  <c r="S21"/>
  <c r="S15"/>
  <c r="U27"/>
  <c r="S23"/>
  <c r="U23" s="1"/>
  <c r="U14"/>
  <c r="U28"/>
  <c r="U13"/>
  <c r="U20"/>
  <c r="U30"/>
  <c r="T25"/>
  <c r="T31"/>
  <c r="T26"/>
  <c r="T9"/>
  <c r="T10"/>
  <c r="T17"/>
  <c r="T12"/>
  <c r="T7"/>
  <c r="T8"/>
  <c r="T16"/>
  <c r="T19"/>
  <c r="T22"/>
  <c r="T11"/>
  <c r="T24"/>
  <c r="T18"/>
  <c r="T21"/>
  <c r="T15"/>
  <c r="T27"/>
  <c r="T14"/>
  <c r="T23"/>
  <c r="T28"/>
  <c r="T13"/>
  <c r="T20"/>
  <c r="T30"/>
  <c r="U16" l="1"/>
  <c r="S14"/>
  <c r="U21"/>
  <c r="S13"/>
  <c r="U25"/>
  <c r="U10"/>
  <c r="U12"/>
  <c r="S22"/>
  <c r="U11"/>
  <c r="U24"/>
  <c r="U18"/>
  <c r="U15"/>
  <c r="S27"/>
  <c r="S28"/>
  <c r="S20"/>
  <c r="U29"/>
  <c r="S26"/>
  <c r="U9"/>
  <c r="U17"/>
  <c r="U7"/>
  <c r="S8"/>
  <c r="S19"/>
  <c r="T32"/>
  <c r="S30"/>
  <c r="S48" i="8" l="1"/>
  <c r="S47"/>
  <c r="S46"/>
  <c r="S49" s="1"/>
  <c r="S10"/>
  <c r="S40"/>
  <c r="S41"/>
  <c r="S31"/>
  <c r="S30"/>
  <c r="S36"/>
  <c r="S22"/>
  <c r="S11"/>
  <c r="S24"/>
  <c r="S28"/>
  <c r="S39"/>
  <c r="S38"/>
  <c r="S27"/>
  <c r="S23"/>
  <c r="S14"/>
  <c r="S42"/>
  <c r="S43"/>
  <c r="S29"/>
  <c r="S19"/>
  <c r="S26"/>
  <c r="S17"/>
  <c r="S13"/>
  <c r="S32"/>
  <c r="S35"/>
  <c r="S18"/>
  <c r="S20"/>
  <c r="S16"/>
  <c r="S33"/>
  <c r="S9"/>
  <c r="S21"/>
  <c r="S25"/>
  <c r="S34"/>
  <c r="S15"/>
  <c r="S37"/>
  <c r="S12"/>
  <c r="T11" i="7"/>
  <c r="S6"/>
  <c r="S8"/>
  <c r="S9"/>
  <c r="S10"/>
  <c r="S7"/>
  <c r="S44" i="8" l="1"/>
  <c r="S11" i="7"/>
  <c r="U11" i="6"/>
  <c r="T11"/>
  <c r="S7"/>
  <c r="S6"/>
  <c r="S8"/>
  <c r="S10"/>
  <c r="S9"/>
  <c r="S24" i="5"/>
  <c r="S23"/>
  <c r="S22"/>
  <c r="S21"/>
  <c r="S20"/>
  <c r="S25" s="1"/>
  <c r="S12"/>
  <c r="S9"/>
  <c r="S14"/>
  <c r="S13"/>
  <c r="S7"/>
  <c r="S15"/>
  <c r="S17"/>
  <c r="S11"/>
  <c r="S10"/>
  <c r="S8"/>
  <c r="S16"/>
  <c r="S35" i="4"/>
  <c r="S34"/>
  <c r="S33"/>
  <c r="S32"/>
  <c r="S31"/>
  <c r="S30"/>
  <c r="S29"/>
  <c r="S28"/>
  <c r="S27"/>
  <c r="S26"/>
  <c r="S25"/>
  <c r="S24"/>
  <c r="S23"/>
  <c r="T22"/>
  <c r="S22" s="1"/>
  <c r="T21"/>
  <c r="S9"/>
  <c r="S12"/>
  <c r="S15"/>
  <c r="T11"/>
  <c r="S11" s="1"/>
  <c r="S8"/>
  <c r="U10"/>
  <c r="T10"/>
  <c r="U14"/>
  <c r="S14" s="1"/>
  <c r="U16"/>
  <c r="T16"/>
  <c r="U7"/>
  <c r="T7"/>
  <c r="S7" s="1"/>
  <c r="S20"/>
  <c r="U17"/>
  <c r="T17"/>
  <c r="S11" i="6" l="1"/>
  <c r="S18" i="5"/>
  <c r="S21" i="4"/>
  <c r="S36" s="1"/>
  <c r="T36"/>
  <c r="U18"/>
  <c r="T18"/>
  <c r="S17"/>
  <c r="S10"/>
  <c r="S16"/>
  <c r="S18" l="1"/>
  <c r="S49" i="1"/>
  <c r="S48"/>
  <c r="S47"/>
  <c r="S46"/>
  <c r="S45"/>
  <c r="U44"/>
  <c r="T44"/>
  <c r="U43"/>
  <c r="T43"/>
  <c r="U42"/>
  <c r="T42"/>
  <c r="U41"/>
  <c r="T41"/>
  <c r="S40"/>
  <c r="S39"/>
  <c r="U38"/>
  <c r="T38"/>
  <c r="U37"/>
  <c r="T37"/>
  <c r="S36"/>
  <c r="U35"/>
  <c r="T35"/>
  <c r="U34"/>
  <c r="T34"/>
  <c r="S33"/>
  <c r="S32"/>
  <c r="U31"/>
  <c r="T31"/>
  <c r="U30"/>
  <c r="T30"/>
  <c r="U29"/>
  <c r="T29"/>
  <c r="U28"/>
  <c r="T28"/>
  <c r="U27"/>
  <c r="T27"/>
  <c r="U26"/>
  <c r="T26"/>
  <c r="U25"/>
  <c r="T25"/>
  <c r="T24"/>
  <c r="S24" s="1"/>
  <c r="S23"/>
  <c r="U22"/>
  <c r="T22"/>
  <c r="U21"/>
  <c r="T21"/>
  <c r="T20"/>
  <c r="S20" s="1"/>
  <c r="U19"/>
  <c r="T19"/>
  <c r="U18"/>
  <c r="T18"/>
  <c r="U10"/>
  <c r="T10"/>
  <c r="U11"/>
  <c r="T11"/>
  <c r="S11" s="1"/>
  <c r="U14"/>
  <c r="T14"/>
  <c r="U15"/>
  <c r="T15"/>
  <c r="U7"/>
  <c r="T7"/>
  <c r="U12"/>
  <c r="T12"/>
  <c r="U13"/>
  <c r="T13"/>
  <c r="U9"/>
  <c r="T9"/>
  <c r="U8"/>
  <c r="U16" s="1"/>
  <c r="T8"/>
  <c r="T16" l="1"/>
  <c r="T50"/>
  <c r="S42"/>
  <c r="U50"/>
  <c r="S12"/>
  <c r="S15"/>
  <c r="S29"/>
  <c r="S31"/>
  <c r="S34"/>
  <c r="S38"/>
  <c r="S41"/>
  <c r="S7"/>
  <c r="S14"/>
  <c r="S28"/>
  <c r="S30"/>
  <c r="S35"/>
  <c r="S9"/>
  <c r="S10"/>
  <c r="S19"/>
  <c r="S21"/>
  <c r="S26"/>
  <c r="S37"/>
  <c r="S43"/>
  <c r="S8"/>
  <c r="S13"/>
  <c r="S18"/>
  <c r="S22"/>
  <c r="S25"/>
  <c r="S27"/>
  <c r="S44"/>
  <c r="Q22" i="4"/>
  <c r="N22"/>
  <c r="K22"/>
  <c r="H22"/>
  <c r="K21"/>
  <c r="H21"/>
  <c r="P12" i="11"/>
  <c r="P21"/>
  <c r="P8"/>
  <c r="P22"/>
  <c r="P11"/>
  <c r="P10"/>
  <c r="P17"/>
  <c r="P29"/>
  <c r="P9"/>
  <c r="P16"/>
  <c r="P24"/>
  <c r="P20"/>
  <c r="P27"/>
  <c r="P28"/>
  <c r="P23"/>
  <c r="P18"/>
  <c r="P19"/>
  <c r="P13"/>
  <c r="P7"/>
  <c r="P15"/>
  <c r="P14"/>
  <c r="S50" i="1" l="1"/>
  <c r="S16"/>
  <c r="P30" i="11"/>
  <c r="F49" i="9"/>
  <c r="AE49" s="1"/>
  <c r="F104"/>
  <c r="AE104" s="1"/>
  <c r="F42"/>
  <c r="AE42" s="1"/>
  <c r="F154"/>
  <c r="AE154" s="1"/>
  <c r="F100"/>
  <c r="AE100" s="1"/>
  <c r="F136"/>
  <c r="AE136" s="1"/>
  <c r="F152"/>
  <c r="AE152" s="1"/>
  <c r="F70"/>
  <c r="AE70" s="1"/>
  <c r="F149"/>
  <c r="AE149" s="1"/>
  <c r="F28"/>
  <c r="AE28" s="1"/>
  <c r="F123"/>
  <c r="AE123" s="1"/>
  <c r="F93"/>
  <c r="AE93" s="1"/>
  <c r="F55"/>
  <c r="AE55" s="1"/>
  <c r="F14"/>
  <c r="AE14" s="1"/>
  <c r="F130"/>
  <c r="AE130" s="1"/>
  <c r="F34"/>
  <c r="AE34" s="1"/>
  <c r="F13"/>
  <c r="AE13" s="1"/>
  <c r="F134"/>
  <c r="AE134" s="1"/>
  <c r="F44"/>
  <c r="AE44" s="1"/>
  <c r="F31"/>
  <c r="AE31" s="1"/>
  <c r="F33"/>
  <c r="AE33" s="1"/>
  <c r="F90"/>
  <c r="AE90" s="1"/>
  <c r="F135"/>
  <c r="AE135" s="1"/>
  <c r="F121"/>
  <c r="AE121" s="1"/>
  <c r="F20"/>
  <c r="AE20" s="1"/>
  <c r="F80"/>
  <c r="AE80" s="1"/>
  <c r="F85"/>
  <c r="AE85" s="1"/>
  <c r="F52"/>
  <c r="AE52" s="1"/>
  <c r="F108"/>
  <c r="AE108" s="1"/>
  <c r="F78"/>
  <c r="AE78" s="1"/>
  <c r="F32"/>
  <c r="AE32" s="1"/>
  <c r="F138"/>
  <c r="AE138" s="1"/>
  <c r="F163"/>
  <c r="AE163" s="1"/>
  <c r="F210"/>
  <c r="AE210" s="1"/>
  <c r="F97"/>
  <c r="AE97" s="1"/>
  <c r="F107"/>
  <c r="AE107" s="1"/>
  <c r="F36"/>
  <c r="AE36" s="1"/>
  <c r="F79"/>
  <c r="AE79" s="1"/>
  <c r="F167"/>
  <c r="AE167" s="1"/>
  <c r="F69"/>
  <c r="AE69" s="1"/>
  <c r="F96"/>
  <c r="AE96" s="1"/>
  <c r="F159"/>
  <c r="AE159" s="1"/>
  <c r="F166"/>
  <c r="AE166" s="1"/>
  <c r="F10"/>
  <c r="AE10" s="1"/>
  <c r="F151"/>
  <c r="AE151" s="1"/>
  <c r="F155"/>
  <c r="AE155" s="1"/>
  <c r="F106"/>
  <c r="AE106" s="1"/>
  <c r="F82"/>
  <c r="AE82" s="1"/>
  <c r="F200"/>
  <c r="AE200" s="1"/>
  <c r="F27"/>
  <c r="AE27" s="1"/>
  <c r="F24"/>
  <c r="AE24" s="1"/>
  <c r="F199"/>
  <c r="AE199" s="1"/>
  <c r="F8"/>
  <c r="AE8" s="1"/>
  <c r="F116"/>
  <c r="AE116" s="1"/>
  <c r="F21"/>
  <c r="AE21" s="1"/>
  <c r="F64"/>
  <c r="AE64" s="1"/>
  <c r="F140"/>
  <c r="AE140" s="1"/>
  <c r="F12"/>
  <c r="AE12" s="1"/>
  <c r="F72"/>
  <c r="AE72" s="1"/>
  <c r="F19"/>
  <c r="AE19" s="1"/>
  <c r="F37"/>
  <c r="AE37" s="1"/>
  <c r="F127"/>
  <c r="AE127" s="1"/>
  <c r="F128"/>
  <c r="AE128" s="1"/>
  <c r="F66"/>
  <c r="AE66" s="1"/>
  <c r="F58"/>
  <c r="AE58" s="1"/>
  <c r="F165"/>
  <c r="AE165" s="1"/>
  <c r="F23"/>
  <c r="AE23" s="1"/>
  <c r="F54"/>
  <c r="AE54" s="1"/>
  <c r="F194"/>
  <c r="AE194" s="1"/>
  <c r="F170"/>
  <c r="AE170" s="1"/>
  <c r="F133"/>
  <c r="AE133" s="1"/>
  <c r="F125"/>
  <c r="AE125" s="1"/>
  <c r="F9"/>
  <c r="AE9" s="1"/>
  <c r="F109"/>
  <c r="AE109" s="1"/>
  <c r="F193"/>
  <c r="AE193" s="1"/>
  <c r="F45"/>
  <c r="AE45" s="1"/>
  <c r="F192"/>
  <c r="AE192" s="1"/>
  <c r="F142"/>
  <c r="AE142" s="1"/>
  <c r="F191"/>
  <c r="AE191" s="1"/>
  <c r="F41"/>
  <c r="AE41" s="1"/>
  <c r="F126"/>
  <c r="AE126" s="1"/>
  <c r="F137"/>
  <c r="AE137" s="1"/>
  <c r="F98"/>
  <c r="AE98" s="1"/>
  <c r="F18"/>
  <c r="AE18" s="1"/>
  <c r="F88"/>
  <c r="AE88" s="1"/>
  <c r="F30"/>
  <c r="AE30" s="1"/>
  <c r="F16"/>
  <c r="AE16" s="1"/>
  <c r="F190"/>
  <c r="AE190" s="1"/>
  <c r="F40"/>
  <c r="AE40" s="1"/>
  <c r="F115"/>
  <c r="AE115" s="1"/>
  <c r="F122"/>
  <c r="AE122" s="1"/>
  <c r="F83"/>
  <c r="AE83" s="1"/>
  <c r="F15"/>
  <c r="AE15" s="1"/>
  <c r="F110"/>
  <c r="AE110" s="1"/>
  <c r="F164"/>
  <c r="AE164" s="1"/>
  <c r="F25"/>
  <c r="AE25" s="1"/>
  <c r="F61"/>
  <c r="AE61" s="1"/>
  <c r="F60"/>
  <c r="AE60" s="1"/>
  <c r="F162"/>
  <c r="AE162" s="1"/>
  <c r="F86"/>
  <c r="AE86" s="1"/>
  <c r="F68"/>
  <c r="AE68" s="1"/>
  <c r="F144"/>
  <c r="AE144" s="1"/>
  <c r="F56"/>
  <c r="AE56" s="1"/>
  <c r="F168"/>
  <c r="AE168" s="1"/>
  <c r="F153"/>
  <c r="AE153" s="1"/>
  <c r="F89"/>
  <c r="AE89" s="1"/>
  <c r="F169"/>
  <c r="AE169" s="1"/>
  <c r="F26"/>
  <c r="AE26" s="1"/>
  <c r="F186"/>
  <c r="AE186" s="1"/>
  <c r="F184"/>
  <c r="AE184" s="1"/>
  <c r="F131"/>
  <c r="AE131" s="1"/>
  <c r="F103"/>
  <c r="AE103" s="1"/>
  <c r="F157"/>
  <c r="AE157" s="1"/>
  <c r="F141"/>
  <c r="AE141" s="1"/>
  <c r="F77"/>
  <c r="AE77" s="1"/>
  <c r="F102"/>
  <c r="AE102" s="1"/>
  <c r="F182"/>
  <c r="AE182" s="1"/>
  <c r="F74"/>
  <c r="AE74" s="1"/>
  <c r="F53"/>
  <c r="AE53" s="1"/>
  <c r="F114"/>
  <c r="AE114" s="1"/>
  <c r="F181"/>
  <c r="AE181" s="1"/>
  <c r="F180"/>
  <c r="F11"/>
  <c r="AE11" s="1"/>
  <c r="F117"/>
  <c r="AE117" s="1"/>
  <c r="F75"/>
  <c r="AE75" s="1"/>
  <c r="F47"/>
  <c r="AE47" s="1"/>
  <c r="F92"/>
  <c r="AE92" s="1"/>
  <c r="F76"/>
  <c r="AE76" s="1"/>
  <c r="F118"/>
  <c r="AE118" s="1"/>
  <c r="F59"/>
  <c r="AE59" s="1"/>
  <c r="F129"/>
  <c r="AE129" s="1"/>
  <c r="F119"/>
  <c r="AE119" s="1"/>
  <c r="F87"/>
  <c r="AE87" s="1"/>
  <c r="F39"/>
  <c r="AE39" s="1"/>
  <c r="F65"/>
  <c r="AE65" s="1"/>
  <c r="F29"/>
  <c r="AE29" s="1"/>
  <c r="F63"/>
  <c r="AE63" s="1"/>
  <c r="F7"/>
  <c r="AE7" s="1"/>
  <c r="F148"/>
  <c r="AE148" s="1"/>
  <c r="F67"/>
  <c r="AE67" s="1"/>
  <c r="F50"/>
  <c r="AE50" s="1"/>
  <c r="F111"/>
  <c r="AE111" s="1"/>
  <c r="F139"/>
  <c r="AE139" s="1"/>
  <c r="F17"/>
  <c r="AE17" s="1"/>
  <c r="F43"/>
  <c r="AE43" s="1"/>
  <c r="F57"/>
  <c r="AE57" s="1"/>
  <c r="F51"/>
  <c r="AE51" s="1"/>
  <c r="F48"/>
  <c r="AE48" s="1"/>
  <c r="F71"/>
  <c r="AE71" s="1"/>
  <c r="F143"/>
  <c r="AE143" s="1"/>
  <c r="F22"/>
  <c r="AE22" s="1"/>
  <c r="F95"/>
  <c r="AE95" s="1"/>
  <c r="F99"/>
  <c r="AE99" s="1"/>
  <c r="F171"/>
  <c r="AE171" s="1"/>
  <c r="F38"/>
  <c r="AE38" s="1"/>
  <c r="F81"/>
  <c r="AE81" s="1"/>
  <c r="F112"/>
  <c r="AE112" s="1"/>
  <c r="F46"/>
  <c r="AE46" s="1"/>
  <c r="F172"/>
  <c r="AE172" s="1"/>
  <c r="F124"/>
  <c r="AE124" s="1"/>
  <c r="F101"/>
  <c r="AE101" s="1"/>
  <c r="F91"/>
  <c r="AE91" s="1"/>
  <c r="F62"/>
  <c r="AE62" s="1"/>
  <c r="F73"/>
  <c r="AE73" s="1"/>
  <c r="F35"/>
  <c r="AE35" s="1"/>
  <c r="F120"/>
  <c r="AE120" s="1"/>
  <c r="F84"/>
  <c r="AE84" s="1"/>
  <c r="F132"/>
  <c r="AE132" s="1"/>
  <c r="F147"/>
  <c r="AE147" s="1"/>
  <c r="F105"/>
  <c r="AE105" s="1"/>
  <c r="F94"/>
  <c r="AE180" l="1"/>
  <c r="F223"/>
  <c r="F173"/>
  <c r="G4" i="12" s="1"/>
  <c r="M4" s="1"/>
  <c r="AE94" i="9"/>
  <c r="H4" i="12"/>
  <c r="N4" s="1"/>
  <c r="F29" i="10"/>
  <c r="AE29" s="1"/>
  <c r="F25"/>
  <c r="AE25" s="1"/>
  <c r="F31"/>
  <c r="F26"/>
  <c r="AE26" s="1"/>
  <c r="F9"/>
  <c r="AE9" s="1"/>
  <c r="F10"/>
  <c r="AE10" s="1"/>
  <c r="F17"/>
  <c r="AE17" s="1"/>
  <c r="F12"/>
  <c r="AE12" s="1"/>
  <c r="F7"/>
  <c r="AE7" s="1"/>
  <c r="F8"/>
  <c r="AE8" s="1"/>
  <c r="F16"/>
  <c r="AE16" s="1"/>
  <c r="F19"/>
  <c r="AE19" s="1"/>
  <c r="F22"/>
  <c r="AE22" s="1"/>
  <c r="F11"/>
  <c r="AE11" s="1"/>
  <c r="F24"/>
  <c r="AE24" s="1"/>
  <c r="F18"/>
  <c r="AE18" s="1"/>
  <c r="F21"/>
  <c r="AE21" s="1"/>
  <c r="F15"/>
  <c r="AE15" s="1"/>
  <c r="F27"/>
  <c r="AE27" s="1"/>
  <c r="F14"/>
  <c r="AE14" s="1"/>
  <c r="F23"/>
  <c r="AE23" s="1"/>
  <c r="F28"/>
  <c r="AE28" s="1"/>
  <c r="F13"/>
  <c r="AE13" s="1"/>
  <c r="F20"/>
  <c r="AE20" s="1"/>
  <c r="F30"/>
  <c r="AE30" s="1"/>
  <c r="P29"/>
  <c r="R29" s="1"/>
  <c r="P25"/>
  <c r="R26"/>
  <c r="P9"/>
  <c r="P10"/>
  <c r="P17"/>
  <c r="P12"/>
  <c r="P7"/>
  <c r="R8"/>
  <c r="P16"/>
  <c r="R19"/>
  <c r="R22"/>
  <c r="P11"/>
  <c r="P24"/>
  <c r="P18"/>
  <c r="P21"/>
  <c r="P15"/>
  <c r="R27"/>
  <c r="R14"/>
  <c r="P23"/>
  <c r="R28"/>
  <c r="R13"/>
  <c r="R20"/>
  <c r="R30"/>
  <c r="Q25"/>
  <c r="Q31"/>
  <c r="Q26"/>
  <c r="Q9"/>
  <c r="Q10"/>
  <c r="Q17"/>
  <c r="Q12"/>
  <c r="Q7"/>
  <c r="Q8"/>
  <c r="Q16"/>
  <c r="Q19"/>
  <c r="Q22"/>
  <c r="Q11"/>
  <c r="Q24"/>
  <c r="Q18"/>
  <c r="Q21"/>
  <c r="Q15"/>
  <c r="Q27"/>
  <c r="Q14"/>
  <c r="Q23"/>
  <c r="Q28"/>
  <c r="Q13"/>
  <c r="Q20"/>
  <c r="Q30"/>
  <c r="N29"/>
  <c r="M29"/>
  <c r="O29" s="1"/>
  <c r="K29"/>
  <c r="J29"/>
  <c r="I29"/>
  <c r="H29"/>
  <c r="G29" s="1"/>
  <c r="N25"/>
  <c r="M25"/>
  <c r="K25"/>
  <c r="J25"/>
  <c r="L25" s="1"/>
  <c r="I25"/>
  <c r="H25"/>
  <c r="N31"/>
  <c r="K31"/>
  <c r="J31"/>
  <c r="I31"/>
  <c r="H31"/>
  <c r="O26"/>
  <c r="N26"/>
  <c r="L26"/>
  <c r="K26"/>
  <c r="I26"/>
  <c r="G26" s="1"/>
  <c r="H26"/>
  <c r="N9"/>
  <c r="M9"/>
  <c r="K9"/>
  <c r="J9"/>
  <c r="I9"/>
  <c r="H9"/>
  <c r="N10"/>
  <c r="M10"/>
  <c r="K10"/>
  <c r="J10"/>
  <c r="I10"/>
  <c r="H10"/>
  <c r="N17"/>
  <c r="M17"/>
  <c r="L17"/>
  <c r="K17"/>
  <c r="J17"/>
  <c r="I17"/>
  <c r="H17"/>
  <c r="N12"/>
  <c r="M12"/>
  <c r="K12"/>
  <c r="J12"/>
  <c r="I12"/>
  <c r="G12" s="1"/>
  <c r="H12"/>
  <c r="N7"/>
  <c r="M7"/>
  <c r="O7" s="1"/>
  <c r="K7"/>
  <c r="J7"/>
  <c r="I7"/>
  <c r="H7"/>
  <c r="O8"/>
  <c r="N8"/>
  <c r="L8"/>
  <c r="K8"/>
  <c r="I8"/>
  <c r="H8"/>
  <c r="N16"/>
  <c r="M16"/>
  <c r="K16"/>
  <c r="J16"/>
  <c r="I16"/>
  <c r="H16"/>
  <c r="O19"/>
  <c r="N19"/>
  <c r="L19"/>
  <c r="K19"/>
  <c r="I19"/>
  <c r="H19"/>
  <c r="O22"/>
  <c r="N22"/>
  <c r="L22"/>
  <c r="K22"/>
  <c r="I22"/>
  <c r="H22"/>
  <c r="N11"/>
  <c r="M11"/>
  <c r="K11"/>
  <c r="J11"/>
  <c r="I11"/>
  <c r="H11"/>
  <c r="N24"/>
  <c r="M24"/>
  <c r="K24"/>
  <c r="J24"/>
  <c r="I24"/>
  <c r="H24"/>
  <c r="N18"/>
  <c r="M18"/>
  <c r="K18"/>
  <c r="J18"/>
  <c r="I18"/>
  <c r="G18" s="1"/>
  <c r="H18"/>
  <c r="N21"/>
  <c r="M21"/>
  <c r="O21" s="1"/>
  <c r="K21"/>
  <c r="J21"/>
  <c r="I21"/>
  <c r="H21"/>
  <c r="O15"/>
  <c r="N15"/>
  <c r="M15"/>
  <c r="K15"/>
  <c r="J15"/>
  <c r="I15"/>
  <c r="H15"/>
  <c r="O27"/>
  <c r="M27" s="1"/>
  <c r="N27"/>
  <c r="L27"/>
  <c r="K27"/>
  <c r="I27"/>
  <c r="G27" s="1"/>
  <c r="H27"/>
  <c r="O14"/>
  <c r="N14"/>
  <c r="L14"/>
  <c r="J14" s="1"/>
  <c r="K14"/>
  <c r="I14"/>
  <c r="H14"/>
  <c r="N23"/>
  <c r="M23"/>
  <c r="K23"/>
  <c r="J23"/>
  <c r="I23"/>
  <c r="H23"/>
  <c r="O28"/>
  <c r="N28"/>
  <c r="L28"/>
  <c r="J28" s="1"/>
  <c r="K28"/>
  <c r="I28"/>
  <c r="H28"/>
  <c r="O13"/>
  <c r="M13" s="1"/>
  <c r="N13"/>
  <c r="L13"/>
  <c r="K13"/>
  <c r="I13"/>
  <c r="G13" s="1"/>
  <c r="H13"/>
  <c r="O20"/>
  <c r="N20"/>
  <c r="L20"/>
  <c r="J20" s="1"/>
  <c r="K20"/>
  <c r="I20"/>
  <c r="H20"/>
  <c r="O30"/>
  <c r="M30" s="1"/>
  <c r="N30"/>
  <c r="L30"/>
  <c r="K30"/>
  <c r="I30"/>
  <c r="G30" s="1"/>
  <c r="H30"/>
  <c r="F10" i="8"/>
  <c r="AE10" s="1"/>
  <c r="F40"/>
  <c r="AE40" s="1"/>
  <c r="F41"/>
  <c r="AE41" s="1"/>
  <c r="F31"/>
  <c r="AE31" s="1"/>
  <c r="F30"/>
  <c r="AE30" s="1"/>
  <c r="F36"/>
  <c r="AE36" s="1"/>
  <c r="F22"/>
  <c r="AE22" s="1"/>
  <c r="F11"/>
  <c r="AE11" s="1"/>
  <c r="F24"/>
  <c r="AE24" s="1"/>
  <c r="F28"/>
  <c r="AE28" s="1"/>
  <c r="F39"/>
  <c r="AE39" s="1"/>
  <c r="F38"/>
  <c r="AE38" s="1"/>
  <c r="F27"/>
  <c r="AE27" s="1"/>
  <c r="F23"/>
  <c r="AE23" s="1"/>
  <c r="F14"/>
  <c r="AE14" s="1"/>
  <c r="F42"/>
  <c r="AE42" s="1"/>
  <c r="F43"/>
  <c r="AE43" s="1"/>
  <c r="F29"/>
  <c r="AE29" s="1"/>
  <c r="F19"/>
  <c r="AE19" s="1"/>
  <c r="F26"/>
  <c r="AE26" s="1"/>
  <c r="F17"/>
  <c r="AE17" s="1"/>
  <c r="F13"/>
  <c r="AE13" s="1"/>
  <c r="F32"/>
  <c r="AE32" s="1"/>
  <c r="F35"/>
  <c r="AE35" s="1"/>
  <c r="F18"/>
  <c r="AE18" s="1"/>
  <c r="F20"/>
  <c r="AE20" s="1"/>
  <c r="F16"/>
  <c r="AE16" s="1"/>
  <c r="F33"/>
  <c r="AE33" s="1"/>
  <c r="F9"/>
  <c r="AE9" s="1"/>
  <c r="F21"/>
  <c r="AE21" s="1"/>
  <c r="F25"/>
  <c r="AE25" s="1"/>
  <c r="F34"/>
  <c r="AE34" s="1"/>
  <c r="F15"/>
  <c r="AE15" s="1"/>
  <c r="F37"/>
  <c r="AE37" s="1"/>
  <c r="F12"/>
  <c r="Q173" i="9"/>
  <c r="R173"/>
  <c r="O25" i="10" l="1"/>
  <c r="G20"/>
  <c r="M28"/>
  <c r="G14"/>
  <c r="L24"/>
  <c r="O11"/>
  <c r="L16"/>
  <c r="L7"/>
  <c r="G9"/>
  <c r="J26"/>
  <c r="G31"/>
  <c r="L31"/>
  <c r="G24"/>
  <c r="G22"/>
  <c r="M22"/>
  <c r="J8"/>
  <c r="G7"/>
  <c r="F44" i="8"/>
  <c r="G5" i="12" s="1"/>
  <c r="M5" s="1"/>
  <c r="AE12" i="8"/>
  <c r="F4" i="12"/>
  <c r="L4" s="1"/>
  <c r="F32" i="10"/>
  <c r="G23"/>
  <c r="G25"/>
  <c r="L21"/>
  <c r="O24"/>
  <c r="L11"/>
  <c r="J19"/>
  <c r="M8"/>
  <c r="O23"/>
  <c r="L15"/>
  <c r="O10"/>
  <c r="M20"/>
  <c r="M14"/>
  <c r="G21"/>
  <c r="G19"/>
  <c r="G17"/>
  <c r="O17"/>
  <c r="L10"/>
  <c r="O9"/>
  <c r="L12"/>
  <c r="M26"/>
  <c r="L29"/>
  <c r="G11"/>
  <c r="M19"/>
  <c r="G10"/>
  <c r="M31"/>
  <c r="O31" s="1"/>
  <c r="P31"/>
  <c r="S31" s="1"/>
  <c r="R23"/>
  <c r="J30"/>
  <c r="L18"/>
  <c r="G8"/>
  <c r="R15"/>
  <c r="L23"/>
  <c r="N32"/>
  <c r="J13"/>
  <c r="G28"/>
  <c r="J27"/>
  <c r="G15"/>
  <c r="O18"/>
  <c r="J22"/>
  <c r="G16"/>
  <c r="O16"/>
  <c r="O12"/>
  <c r="L9"/>
  <c r="Q32"/>
  <c r="K32"/>
  <c r="H32"/>
  <c r="R25"/>
  <c r="P26"/>
  <c r="R9"/>
  <c r="R10"/>
  <c r="R17"/>
  <c r="R12"/>
  <c r="R7"/>
  <c r="P8"/>
  <c r="R16"/>
  <c r="P19"/>
  <c r="P22"/>
  <c r="R11"/>
  <c r="R24"/>
  <c r="R18"/>
  <c r="R21"/>
  <c r="P27"/>
  <c r="P14"/>
  <c r="P28"/>
  <c r="P13"/>
  <c r="P20"/>
  <c r="P30"/>
  <c r="V31" l="1"/>
  <c r="U31"/>
  <c r="U32" s="1"/>
  <c r="S32"/>
  <c r="R31"/>
  <c r="O32"/>
  <c r="F5" i="12"/>
  <c r="L5" s="1"/>
  <c r="M32" i="10"/>
  <c r="I32"/>
  <c r="P32"/>
  <c r="J32"/>
  <c r="L32"/>
  <c r="R32"/>
  <c r="G32"/>
  <c r="X31" l="1"/>
  <c r="X32" s="1"/>
  <c r="Y31"/>
  <c r="V32"/>
  <c r="P49" i="9"/>
  <c r="P104"/>
  <c r="P42"/>
  <c r="P154"/>
  <c r="P100"/>
  <c r="P136"/>
  <c r="P152"/>
  <c r="P70"/>
  <c r="P149"/>
  <c r="P28"/>
  <c r="P123"/>
  <c r="P93"/>
  <c r="P55"/>
  <c r="P14"/>
  <c r="P130"/>
  <c r="P34"/>
  <c r="P13"/>
  <c r="P134"/>
  <c r="P44"/>
  <c r="P31"/>
  <c r="P33"/>
  <c r="P90"/>
  <c r="P135"/>
  <c r="P121"/>
  <c r="P20"/>
  <c r="P80"/>
  <c r="P85"/>
  <c r="P52"/>
  <c r="P108"/>
  <c r="P78"/>
  <c r="P32"/>
  <c r="P138"/>
  <c r="P163"/>
  <c r="P210"/>
  <c r="P97"/>
  <c r="P107"/>
  <c r="P36"/>
  <c r="P79"/>
  <c r="P167"/>
  <c r="P69"/>
  <c r="P96"/>
  <c r="P159"/>
  <c r="P166"/>
  <c r="P10"/>
  <c r="P151"/>
  <c r="P155"/>
  <c r="P203"/>
  <c r="P106"/>
  <c r="P82"/>
  <c r="P200"/>
  <c r="P27"/>
  <c r="P24"/>
  <c r="P199"/>
  <c r="P8"/>
  <c r="P116"/>
  <c r="P21"/>
  <c r="P64"/>
  <c r="P140"/>
  <c r="P12"/>
  <c r="P72"/>
  <c r="P19"/>
  <c r="P37"/>
  <c r="P127"/>
  <c r="P128"/>
  <c r="P66"/>
  <c r="P58"/>
  <c r="P165"/>
  <c r="P23"/>
  <c r="P54"/>
  <c r="P194"/>
  <c r="P170"/>
  <c r="P133"/>
  <c r="P125"/>
  <c r="P9"/>
  <c r="P109"/>
  <c r="P193"/>
  <c r="P45"/>
  <c r="P192"/>
  <c r="P142"/>
  <c r="P191"/>
  <c r="P41"/>
  <c r="P126"/>
  <c r="P137"/>
  <c r="P98"/>
  <c r="P18"/>
  <c r="P88"/>
  <c r="P30"/>
  <c r="P16"/>
  <c r="P40"/>
  <c r="P115"/>
  <c r="P122"/>
  <c r="P83"/>
  <c r="P15"/>
  <c r="P110"/>
  <c r="P164"/>
  <c r="P25"/>
  <c r="P61"/>
  <c r="P60"/>
  <c r="P144"/>
  <c r="P56"/>
  <c r="P168"/>
  <c r="P153"/>
  <c r="P89"/>
  <c r="P169"/>
  <c r="P26"/>
  <c r="P186"/>
  <c r="P184"/>
  <c r="P102"/>
  <c r="P182"/>
  <c r="P74"/>
  <c r="P53"/>
  <c r="P114"/>
  <c r="P181"/>
  <c r="P180"/>
  <c r="P11"/>
  <c r="P117"/>
  <c r="P75"/>
  <c r="P47"/>
  <c r="P92"/>
  <c r="P76"/>
  <c r="P118"/>
  <c r="P59"/>
  <c r="P129"/>
  <c r="P119"/>
  <c r="P87"/>
  <c r="P39"/>
  <c r="P65"/>
  <c r="P29"/>
  <c r="P63"/>
  <c r="P7"/>
  <c r="P148"/>
  <c r="P67"/>
  <c r="P50"/>
  <c r="P111"/>
  <c r="P139"/>
  <c r="P17"/>
  <c r="P43"/>
  <c r="P57"/>
  <c r="P51"/>
  <c r="P48"/>
  <c r="P71"/>
  <c r="P143"/>
  <c r="P22"/>
  <c r="P171"/>
  <c r="P38"/>
  <c r="P81"/>
  <c r="P112"/>
  <c r="P46"/>
  <c r="P172"/>
  <c r="P158"/>
  <c r="P124"/>
  <c r="P101"/>
  <c r="P91"/>
  <c r="P62"/>
  <c r="P73"/>
  <c r="P35"/>
  <c r="P120"/>
  <c r="P84"/>
  <c r="P132"/>
  <c r="P147"/>
  <c r="P105"/>
  <c r="P94"/>
  <c r="O49"/>
  <c r="N49"/>
  <c r="L49"/>
  <c r="K49"/>
  <c r="I49"/>
  <c r="H49"/>
  <c r="O104"/>
  <c r="N104"/>
  <c r="L104"/>
  <c r="K104"/>
  <c r="I104"/>
  <c r="H104"/>
  <c r="O42"/>
  <c r="N42"/>
  <c r="L42"/>
  <c r="K42"/>
  <c r="I42"/>
  <c r="H42"/>
  <c r="O154"/>
  <c r="N154"/>
  <c r="L154"/>
  <c r="K154"/>
  <c r="I154"/>
  <c r="H154"/>
  <c r="O100"/>
  <c r="N100"/>
  <c r="L100"/>
  <c r="K100"/>
  <c r="I100"/>
  <c r="H100"/>
  <c r="O136"/>
  <c r="N136"/>
  <c r="L136"/>
  <c r="K136"/>
  <c r="I136"/>
  <c r="H136"/>
  <c r="O152"/>
  <c r="N152"/>
  <c r="L152"/>
  <c r="K152"/>
  <c r="I152"/>
  <c r="H152"/>
  <c r="O70"/>
  <c r="N70"/>
  <c r="L70"/>
  <c r="K70"/>
  <c r="I70"/>
  <c r="H70"/>
  <c r="O149"/>
  <c r="N149"/>
  <c r="L149"/>
  <c r="K149"/>
  <c r="G149"/>
  <c r="O28"/>
  <c r="N28"/>
  <c r="L28"/>
  <c r="K28"/>
  <c r="I28"/>
  <c r="H28"/>
  <c r="O123"/>
  <c r="N123"/>
  <c r="L123"/>
  <c r="K123"/>
  <c r="I123"/>
  <c r="H123"/>
  <c r="O93"/>
  <c r="N93"/>
  <c r="L93"/>
  <c r="K93"/>
  <c r="G93"/>
  <c r="O55"/>
  <c r="N55"/>
  <c r="L55"/>
  <c r="K55"/>
  <c r="I55"/>
  <c r="H55"/>
  <c r="O14"/>
  <c r="N14"/>
  <c r="L14"/>
  <c r="K14"/>
  <c r="I14"/>
  <c r="H14"/>
  <c r="O130"/>
  <c r="N130"/>
  <c r="L130"/>
  <c r="K130"/>
  <c r="I130"/>
  <c r="H130"/>
  <c r="O34"/>
  <c r="N34"/>
  <c r="L34"/>
  <c r="K34"/>
  <c r="I34"/>
  <c r="H34"/>
  <c r="O13"/>
  <c r="N13"/>
  <c r="L13"/>
  <c r="K13"/>
  <c r="I13"/>
  <c r="H13"/>
  <c r="O134"/>
  <c r="N134"/>
  <c r="L134"/>
  <c r="K134"/>
  <c r="I134"/>
  <c r="H134"/>
  <c r="O44"/>
  <c r="N44"/>
  <c r="L44"/>
  <c r="K44"/>
  <c r="I44"/>
  <c r="H44"/>
  <c r="O31"/>
  <c r="N31"/>
  <c r="L31"/>
  <c r="K31"/>
  <c r="I31"/>
  <c r="H31"/>
  <c r="O33"/>
  <c r="N33"/>
  <c r="L33"/>
  <c r="K33"/>
  <c r="I33"/>
  <c r="H33"/>
  <c r="O90"/>
  <c r="N90"/>
  <c r="L90"/>
  <c r="K90"/>
  <c r="I90"/>
  <c r="H90"/>
  <c r="O135"/>
  <c r="N135"/>
  <c r="L135"/>
  <c r="K135"/>
  <c r="I135"/>
  <c r="H135"/>
  <c r="O121"/>
  <c r="N121"/>
  <c r="L121"/>
  <c r="K121"/>
  <c r="I121"/>
  <c r="H121"/>
  <c r="O20"/>
  <c r="N20"/>
  <c r="L20"/>
  <c r="K20"/>
  <c r="I20"/>
  <c r="H20"/>
  <c r="O80"/>
  <c r="N80"/>
  <c r="L80"/>
  <c r="K80"/>
  <c r="I80"/>
  <c r="H80"/>
  <c r="O85"/>
  <c r="N85"/>
  <c r="L85"/>
  <c r="K85"/>
  <c r="G85"/>
  <c r="O52"/>
  <c r="N52"/>
  <c r="L52"/>
  <c r="K52"/>
  <c r="G52"/>
  <c r="O108"/>
  <c r="N108"/>
  <c r="L108"/>
  <c r="K108"/>
  <c r="I108"/>
  <c r="H108"/>
  <c r="O78"/>
  <c r="N78"/>
  <c r="L78"/>
  <c r="K78"/>
  <c r="I78"/>
  <c r="H78"/>
  <c r="O32"/>
  <c r="N32"/>
  <c r="L32"/>
  <c r="K32"/>
  <c r="I32"/>
  <c r="H32"/>
  <c r="O138"/>
  <c r="N138"/>
  <c r="L138"/>
  <c r="K138"/>
  <c r="I138"/>
  <c r="H138"/>
  <c r="O163"/>
  <c r="N163"/>
  <c r="L163"/>
  <c r="K163"/>
  <c r="I163"/>
  <c r="H163"/>
  <c r="O210"/>
  <c r="N210"/>
  <c r="L210"/>
  <c r="K210"/>
  <c r="G210"/>
  <c r="O97"/>
  <c r="N97"/>
  <c r="L97"/>
  <c r="K97"/>
  <c r="I97"/>
  <c r="H97"/>
  <c r="O107"/>
  <c r="N107"/>
  <c r="L107"/>
  <c r="K107"/>
  <c r="I107"/>
  <c r="H107"/>
  <c r="O36"/>
  <c r="N36"/>
  <c r="L36"/>
  <c r="K36"/>
  <c r="I36"/>
  <c r="H36"/>
  <c r="O79"/>
  <c r="N79"/>
  <c r="L79"/>
  <c r="K79"/>
  <c r="I79"/>
  <c r="H79"/>
  <c r="O167"/>
  <c r="N167"/>
  <c r="L167"/>
  <c r="K167"/>
  <c r="I167"/>
  <c r="H167"/>
  <c r="O69"/>
  <c r="N69"/>
  <c r="L69"/>
  <c r="K69"/>
  <c r="I69"/>
  <c r="H69"/>
  <c r="O96"/>
  <c r="N96"/>
  <c r="L96"/>
  <c r="K96"/>
  <c r="I96"/>
  <c r="H96"/>
  <c r="O159"/>
  <c r="N159"/>
  <c r="L159"/>
  <c r="K159"/>
  <c r="I159"/>
  <c r="H159"/>
  <c r="O166"/>
  <c r="N166"/>
  <c r="L166"/>
  <c r="K166"/>
  <c r="I166"/>
  <c r="H166"/>
  <c r="O10"/>
  <c r="N10"/>
  <c r="L10"/>
  <c r="K10"/>
  <c r="I10"/>
  <c r="H10"/>
  <c r="O151"/>
  <c r="N151"/>
  <c r="L151"/>
  <c r="K151"/>
  <c r="G151"/>
  <c r="O155"/>
  <c r="N155"/>
  <c r="L155"/>
  <c r="K155"/>
  <c r="I155"/>
  <c r="H155"/>
  <c r="O203"/>
  <c r="N203"/>
  <c r="L203"/>
  <c r="K203"/>
  <c r="I203"/>
  <c r="H203"/>
  <c r="O106"/>
  <c r="N106"/>
  <c r="L106"/>
  <c r="K106"/>
  <c r="I106"/>
  <c r="H106"/>
  <c r="O82"/>
  <c r="N82"/>
  <c r="L82"/>
  <c r="K82"/>
  <c r="I82"/>
  <c r="H82"/>
  <c r="N200"/>
  <c r="M200" s="1"/>
  <c r="L200"/>
  <c r="K200"/>
  <c r="I200"/>
  <c r="H200"/>
  <c r="O27"/>
  <c r="N27"/>
  <c r="L27"/>
  <c r="K27"/>
  <c r="I27"/>
  <c r="H27"/>
  <c r="O24"/>
  <c r="N24"/>
  <c r="L24"/>
  <c r="K24"/>
  <c r="I24"/>
  <c r="H24"/>
  <c r="O199"/>
  <c r="N199"/>
  <c r="L199"/>
  <c r="K199"/>
  <c r="I199"/>
  <c r="H199"/>
  <c r="O8"/>
  <c r="N8"/>
  <c r="L8"/>
  <c r="K8"/>
  <c r="I8"/>
  <c r="H8"/>
  <c r="O116"/>
  <c r="N116"/>
  <c r="L116"/>
  <c r="K116"/>
  <c r="I116"/>
  <c r="H116"/>
  <c r="O21"/>
  <c r="N21"/>
  <c r="L21"/>
  <c r="K21"/>
  <c r="I21"/>
  <c r="H21"/>
  <c r="O64"/>
  <c r="N64"/>
  <c r="L64"/>
  <c r="K64"/>
  <c r="I64"/>
  <c r="H64"/>
  <c r="O140"/>
  <c r="N140"/>
  <c r="L140"/>
  <c r="K140"/>
  <c r="I140"/>
  <c r="H140"/>
  <c r="O12"/>
  <c r="N12"/>
  <c r="L12"/>
  <c r="K12"/>
  <c r="I12"/>
  <c r="H12"/>
  <c r="O72"/>
  <c r="N72"/>
  <c r="L72"/>
  <c r="K72"/>
  <c r="I72"/>
  <c r="H72"/>
  <c r="O19"/>
  <c r="N19"/>
  <c r="L19"/>
  <c r="K19"/>
  <c r="I19"/>
  <c r="H19"/>
  <c r="O37"/>
  <c r="N37"/>
  <c r="L37"/>
  <c r="K37"/>
  <c r="I37"/>
  <c r="H37"/>
  <c r="O127"/>
  <c r="N127"/>
  <c r="L127"/>
  <c r="K127"/>
  <c r="I127"/>
  <c r="H127"/>
  <c r="O128"/>
  <c r="N128"/>
  <c r="L128"/>
  <c r="K128"/>
  <c r="I128"/>
  <c r="H128"/>
  <c r="O66"/>
  <c r="N66"/>
  <c r="L66"/>
  <c r="K66"/>
  <c r="I66"/>
  <c r="H66"/>
  <c r="O58"/>
  <c r="N58"/>
  <c r="L58"/>
  <c r="K58"/>
  <c r="I58"/>
  <c r="H58"/>
  <c r="O165"/>
  <c r="N165"/>
  <c r="L165"/>
  <c r="K165"/>
  <c r="I165"/>
  <c r="H165"/>
  <c r="O23"/>
  <c r="N23"/>
  <c r="L23"/>
  <c r="K23"/>
  <c r="I23"/>
  <c r="H23"/>
  <c r="O54"/>
  <c r="N54"/>
  <c r="L54"/>
  <c r="K54"/>
  <c r="I54"/>
  <c r="H54"/>
  <c r="N194"/>
  <c r="M194" s="1"/>
  <c r="K194"/>
  <c r="J194" s="1"/>
  <c r="H194"/>
  <c r="G194" s="1"/>
  <c r="O170"/>
  <c r="N170"/>
  <c r="L170"/>
  <c r="K170"/>
  <c r="I170"/>
  <c r="H170"/>
  <c r="O133"/>
  <c r="N133"/>
  <c r="L133"/>
  <c r="K133"/>
  <c r="I133"/>
  <c r="H133"/>
  <c r="O125"/>
  <c r="N125"/>
  <c r="L125"/>
  <c r="K125"/>
  <c r="I125"/>
  <c r="H125"/>
  <c r="O9"/>
  <c r="N9"/>
  <c r="L9"/>
  <c r="K9"/>
  <c r="I9"/>
  <c r="H9"/>
  <c r="O109"/>
  <c r="N109"/>
  <c r="L109"/>
  <c r="K109"/>
  <c r="I109"/>
  <c r="H109"/>
  <c r="O193"/>
  <c r="N193"/>
  <c r="L193"/>
  <c r="K193"/>
  <c r="G193"/>
  <c r="O45"/>
  <c r="N45"/>
  <c r="L45"/>
  <c r="K45"/>
  <c r="I45"/>
  <c r="H45"/>
  <c r="O192"/>
  <c r="N192"/>
  <c r="L192"/>
  <c r="K192"/>
  <c r="I192"/>
  <c r="H192"/>
  <c r="N142"/>
  <c r="M142" s="1"/>
  <c r="K142"/>
  <c r="J142" s="1"/>
  <c r="H142"/>
  <c r="G142" s="1"/>
  <c r="O191"/>
  <c r="N191"/>
  <c r="L191"/>
  <c r="K191"/>
  <c r="I191"/>
  <c r="H191"/>
  <c r="O41"/>
  <c r="N41"/>
  <c r="L41"/>
  <c r="K41"/>
  <c r="I41"/>
  <c r="H41"/>
  <c r="O126"/>
  <c r="N126"/>
  <c r="L126"/>
  <c r="K126"/>
  <c r="I126"/>
  <c r="H126"/>
  <c r="O137"/>
  <c r="N137"/>
  <c r="L137"/>
  <c r="K137"/>
  <c r="I137"/>
  <c r="H137"/>
  <c r="O98"/>
  <c r="N98"/>
  <c r="L98"/>
  <c r="K98"/>
  <c r="I98"/>
  <c r="H98"/>
  <c r="O18"/>
  <c r="N18"/>
  <c r="L18"/>
  <c r="K18"/>
  <c r="I18"/>
  <c r="H18"/>
  <c r="O88"/>
  <c r="N88"/>
  <c r="L88"/>
  <c r="K88"/>
  <c r="I88"/>
  <c r="H88"/>
  <c r="O30"/>
  <c r="N30"/>
  <c r="L30"/>
  <c r="K30"/>
  <c r="I30"/>
  <c r="H30"/>
  <c r="O16"/>
  <c r="N16"/>
  <c r="L16"/>
  <c r="K16"/>
  <c r="I16"/>
  <c r="H16"/>
  <c r="O40"/>
  <c r="N40"/>
  <c r="L40"/>
  <c r="K40"/>
  <c r="I40"/>
  <c r="H40"/>
  <c r="O115"/>
  <c r="N115"/>
  <c r="L115"/>
  <c r="K115"/>
  <c r="I115"/>
  <c r="H115"/>
  <c r="O122"/>
  <c r="N122"/>
  <c r="L122"/>
  <c r="K122"/>
  <c r="I122"/>
  <c r="H122"/>
  <c r="O83"/>
  <c r="N83"/>
  <c r="L83"/>
  <c r="K83"/>
  <c r="I83"/>
  <c r="H83"/>
  <c r="O15"/>
  <c r="N15"/>
  <c r="L15"/>
  <c r="K15"/>
  <c r="I15"/>
  <c r="H15"/>
  <c r="O110"/>
  <c r="N110"/>
  <c r="L110"/>
  <c r="K110"/>
  <c r="I110"/>
  <c r="H110"/>
  <c r="O164"/>
  <c r="N164"/>
  <c r="L164"/>
  <c r="K164"/>
  <c r="I164"/>
  <c r="H164"/>
  <c r="O25"/>
  <c r="N25"/>
  <c r="L25"/>
  <c r="K25"/>
  <c r="I25"/>
  <c r="H25"/>
  <c r="O61"/>
  <c r="N61"/>
  <c r="L61"/>
  <c r="K61"/>
  <c r="I61"/>
  <c r="H61"/>
  <c r="O60"/>
  <c r="N60"/>
  <c r="L60"/>
  <c r="K60"/>
  <c r="I60"/>
  <c r="H60"/>
  <c r="O144"/>
  <c r="N144"/>
  <c r="L144"/>
  <c r="K144"/>
  <c r="I144"/>
  <c r="H144"/>
  <c r="O56"/>
  <c r="N56"/>
  <c r="L56"/>
  <c r="K56"/>
  <c r="I56"/>
  <c r="H56"/>
  <c r="O168"/>
  <c r="N168"/>
  <c r="L168"/>
  <c r="K168"/>
  <c r="I168"/>
  <c r="H168"/>
  <c r="O153"/>
  <c r="N153"/>
  <c r="L153"/>
  <c r="K153"/>
  <c r="I153"/>
  <c r="H153"/>
  <c r="O89"/>
  <c r="N89"/>
  <c r="L89"/>
  <c r="K89"/>
  <c r="I89"/>
  <c r="H89"/>
  <c r="N169"/>
  <c r="M169" s="1"/>
  <c r="K169"/>
  <c r="J169" s="1"/>
  <c r="H169"/>
  <c r="G169" s="1"/>
  <c r="O26"/>
  <c r="N26"/>
  <c r="L26"/>
  <c r="K26"/>
  <c r="I26"/>
  <c r="H26"/>
  <c r="O186"/>
  <c r="N186"/>
  <c r="L186"/>
  <c r="K186"/>
  <c r="I186"/>
  <c r="H186"/>
  <c r="O184"/>
  <c r="N184"/>
  <c r="L184"/>
  <c r="K184"/>
  <c r="I184"/>
  <c r="H184"/>
  <c r="O102"/>
  <c r="N102"/>
  <c r="L102"/>
  <c r="K102"/>
  <c r="I102"/>
  <c r="H102"/>
  <c r="O182"/>
  <c r="N182"/>
  <c r="L182"/>
  <c r="K182"/>
  <c r="I182"/>
  <c r="H182"/>
  <c r="O74"/>
  <c r="N74"/>
  <c r="L74"/>
  <c r="K74"/>
  <c r="I74"/>
  <c r="H74"/>
  <c r="O53"/>
  <c r="N53"/>
  <c r="L53"/>
  <c r="K53"/>
  <c r="I53"/>
  <c r="H53"/>
  <c r="O114"/>
  <c r="N114"/>
  <c r="L114"/>
  <c r="K114"/>
  <c r="I114"/>
  <c r="H114"/>
  <c r="O181"/>
  <c r="N181"/>
  <c r="L181"/>
  <c r="K181"/>
  <c r="G181"/>
  <c r="O180"/>
  <c r="N180"/>
  <c r="L180"/>
  <c r="K180"/>
  <c r="G180"/>
  <c r="O11"/>
  <c r="N11"/>
  <c r="L11"/>
  <c r="K11"/>
  <c r="I11"/>
  <c r="H11"/>
  <c r="O117"/>
  <c r="N117"/>
  <c r="L117"/>
  <c r="K117"/>
  <c r="I117"/>
  <c r="H117"/>
  <c r="O75"/>
  <c r="N75"/>
  <c r="L75"/>
  <c r="K75"/>
  <c r="I75"/>
  <c r="H75"/>
  <c r="O47"/>
  <c r="N47"/>
  <c r="L47"/>
  <c r="K47"/>
  <c r="I47"/>
  <c r="H47"/>
  <c r="O92"/>
  <c r="N92"/>
  <c r="K92"/>
  <c r="J92" s="1"/>
  <c r="I92"/>
  <c r="H92"/>
  <c r="O76"/>
  <c r="N76"/>
  <c r="L76"/>
  <c r="K76"/>
  <c r="I76"/>
  <c r="H76"/>
  <c r="O118"/>
  <c r="N118"/>
  <c r="L118"/>
  <c r="K118"/>
  <c r="I118"/>
  <c r="H118"/>
  <c r="O59"/>
  <c r="N59"/>
  <c r="L59"/>
  <c r="K59"/>
  <c r="I59"/>
  <c r="H59"/>
  <c r="O129"/>
  <c r="N129"/>
  <c r="L129"/>
  <c r="K129"/>
  <c r="I129"/>
  <c r="H129"/>
  <c r="O119"/>
  <c r="N119"/>
  <c r="L119"/>
  <c r="K119"/>
  <c r="I119"/>
  <c r="H119"/>
  <c r="O87"/>
  <c r="N87"/>
  <c r="L87"/>
  <c r="K87"/>
  <c r="I87"/>
  <c r="H87"/>
  <c r="O39"/>
  <c r="N39"/>
  <c r="L39"/>
  <c r="K39"/>
  <c r="I39"/>
  <c r="H39"/>
  <c r="O65"/>
  <c r="N65"/>
  <c r="L65"/>
  <c r="K65"/>
  <c r="I65"/>
  <c r="H65"/>
  <c r="O29"/>
  <c r="N29"/>
  <c r="L29"/>
  <c r="K29"/>
  <c r="I29"/>
  <c r="H29"/>
  <c r="O63"/>
  <c r="N63"/>
  <c r="L63"/>
  <c r="K63"/>
  <c r="I63"/>
  <c r="H63"/>
  <c r="O7"/>
  <c r="N7"/>
  <c r="L7"/>
  <c r="K7"/>
  <c r="I7"/>
  <c r="H7"/>
  <c r="N148"/>
  <c r="M148" s="1"/>
  <c r="K148"/>
  <c r="J148" s="1"/>
  <c r="H148"/>
  <c r="G148" s="1"/>
  <c r="O67"/>
  <c r="N67"/>
  <c r="L67"/>
  <c r="K67"/>
  <c r="I67"/>
  <c r="H67"/>
  <c r="O50"/>
  <c r="N50"/>
  <c r="L50"/>
  <c r="K50"/>
  <c r="I50"/>
  <c r="H50"/>
  <c r="O111"/>
  <c r="N111"/>
  <c r="L111"/>
  <c r="K111"/>
  <c r="G111"/>
  <c r="N139"/>
  <c r="M139" s="1"/>
  <c r="K139"/>
  <c r="J139" s="1"/>
  <c r="H139"/>
  <c r="G139" s="1"/>
  <c r="O17"/>
  <c r="N17"/>
  <c r="L17"/>
  <c r="K17"/>
  <c r="I17"/>
  <c r="H17"/>
  <c r="O43"/>
  <c r="N43"/>
  <c r="L43"/>
  <c r="K43"/>
  <c r="I43"/>
  <c r="H43"/>
  <c r="O57"/>
  <c r="N57"/>
  <c r="L57"/>
  <c r="K57"/>
  <c r="I57"/>
  <c r="H57"/>
  <c r="O51"/>
  <c r="N51"/>
  <c r="L51"/>
  <c r="K51"/>
  <c r="I51"/>
  <c r="H51"/>
  <c r="O48"/>
  <c r="N48"/>
  <c r="L48"/>
  <c r="K48"/>
  <c r="I48"/>
  <c r="H48"/>
  <c r="O71"/>
  <c r="N71"/>
  <c r="L71"/>
  <c r="K71"/>
  <c r="G71"/>
  <c r="O143"/>
  <c r="N143"/>
  <c r="L143"/>
  <c r="K143"/>
  <c r="I143"/>
  <c r="H143"/>
  <c r="O22"/>
  <c r="N22"/>
  <c r="L22"/>
  <c r="K22"/>
  <c r="I22"/>
  <c r="H22"/>
  <c r="O171"/>
  <c r="N171"/>
  <c r="L171"/>
  <c r="K171"/>
  <c r="I171"/>
  <c r="H171"/>
  <c r="O38"/>
  <c r="N38"/>
  <c r="L38"/>
  <c r="K38"/>
  <c r="G38"/>
  <c r="O81"/>
  <c r="N81"/>
  <c r="L81"/>
  <c r="K81"/>
  <c r="I81"/>
  <c r="H81"/>
  <c r="O112"/>
  <c r="N112"/>
  <c r="L112"/>
  <c r="K112"/>
  <c r="I112"/>
  <c r="H112"/>
  <c r="O46"/>
  <c r="N46"/>
  <c r="L46"/>
  <c r="K46"/>
  <c r="I46"/>
  <c r="H46"/>
  <c r="O172"/>
  <c r="N172"/>
  <c r="L172"/>
  <c r="K172"/>
  <c r="I172"/>
  <c r="H172"/>
  <c r="O158"/>
  <c r="N158"/>
  <c r="L158"/>
  <c r="K158"/>
  <c r="I158"/>
  <c r="H158"/>
  <c r="O124"/>
  <c r="N124"/>
  <c r="L124"/>
  <c r="K124"/>
  <c r="I124"/>
  <c r="H124"/>
  <c r="O101"/>
  <c r="N101"/>
  <c r="L101"/>
  <c r="K101"/>
  <c r="I101"/>
  <c r="H101"/>
  <c r="O91"/>
  <c r="N91"/>
  <c r="L91"/>
  <c r="K91"/>
  <c r="I91"/>
  <c r="H91"/>
  <c r="O62"/>
  <c r="N62"/>
  <c r="L62"/>
  <c r="K62"/>
  <c r="I62"/>
  <c r="H62"/>
  <c r="O73"/>
  <c r="N73"/>
  <c r="L73"/>
  <c r="K73"/>
  <c r="I73"/>
  <c r="H73"/>
  <c r="O35"/>
  <c r="N35"/>
  <c r="L35"/>
  <c r="K35"/>
  <c r="I35"/>
  <c r="H35"/>
  <c r="O120"/>
  <c r="N120"/>
  <c r="L120"/>
  <c r="K120"/>
  <c r="I120"/>
  <c r="H120"/>
  <c r="O84"/>
  <c r="N84"/>
  <c r="L84"/>
  <c r="K84"/>
  <c r="I84"/>
  <c r="H84"/>
  <c r="O132"/>
  <c r="N132"/>
  <c r="L132"/>
  <c r="K132"/>
  <c r="G132"/>
  <c r="O147"/>
  <c r="N147"/>
  <c r="L147"/>
  <c r="K147"/>
  <c r="I147"/>
  <c r="H147"/>
  <c r="O105"/>
  <c r="N105"/>
  <c r="L105"/>
  <c r="K105"/>
  <c r="I105"/>
  <c r="H105"/>
  <c r="O94"/>
  <c r="N94"/>
  <c r="L94"/>
  <c r="K94"/>
  <c r="I94"/>
  <c r="H94"/>
  <c r="F6" i="7"/>
  <c r="AE6" s="1"/>
  <c r="F8"/>
  <c r="AE8" s="1"/>
  <c r="F9"/>
  <c r="AE9" s="1"/>
  <c r="F10"/>
  <c r="AE10" s="1"/>
  <c r="F7"/>
  <c r="AE7" s="1"/>
  <c r="O11" i="6"/>
  <c r="N11"/>
  <c r="M7"/>
  <c r="M6"/>
  <c r="M11" s="1"/>
  <c r="M8"/>
  <c r="M10"/>
  <c r="M9"/>
  <c r="F7"/>
  <c r="AE7" s="1"/>
  <c r="F6"/>
  <c r="AE6" s="1"/>
  <c r="F8"/>
  <c r="AE8" s="1"/>
  <c r="F10"/>
  <c r="AE10" s="1"/>
  <c r="F9"/>
  <c r="AE9" s="1"/>
  <c r="M24" i="5"/>
  <c r="M23"/>
  <c r="M22"/>
  <c r="M21"/>
  <c r="M20"/>
  <c r="M12"/>
  <c r="M9"/>
  <c r="M14"/>
  <c r="M13"/>
  <c r="M7"/>
  <c r="M15"/>
  <c r="M17"/>
  <c r="M11"/>
  <c r="M10"/>
  <c r="M8"/>
  <c r="M16"/>
  <c r="F24"/>
  <c r="AE24" s="1"/>
  <c r="F23"/>
  <c r="AE23" s="1"/>
  <c r="F22"/>
  <c r="AE22" s="1"/>
  <c r="F21"/>
  <c r="AE21" s="1"/>
  <c r="F20"/>
  <c r="F12"/>
  <c r="AE12" s="1"/>
  <c r="F9"/>
  <c r="AE9" s="1"/>
  <c r="F14"/>
  <c r="AE14" s="1"/>
  <c r="F13"/>
  <c r="AE13" s="1"/>
  <c r="F7"/>
  <c r="AE7" s="1"/>
  <c r="F15"/>
  <c r="AE15" s="1"/>
  <c r="F17"/>
  <c r="AE17" s="1"/>
  <c r="F11"/>
  <c r="AE11" s="1"/>
  <c r="F10"/>
  <c r="AE10" s="1"/>
  <c r="F8"/>
  <c r="AE8" s="1"/>
  <c r="F16"/>
  <c r="AE16" s="1"/>
  <c r="Q11" i="7"/>
  <c r="P10" i="8"/>
  <c r="M10"/>
  <c r="J10"/>
  <c r="G10"/>
  <c r="P40"/>
  <c r="M40"/>
  <c r="J40"/>
  <c r="G40"/>
  <c r="P41"/>
  <c r="M41"/>
  <c r="J41"/>
  <c r="G41"/>
  <c r="P31"/>
  <c r="M31"/>
  <c r="J31"/>
  <c r="G31"/>
  <c r="P30"/>
  <c r="M30"/>
  <c r="J30"/>
  <c r="G30"/>
  <c r="P36"/>
  <c r="M36"/>
  <c r="J36"/>
  <c r="G36"/>
  <c r="P22"/>
  <c r="M22"/>
  <c r="J22"/>
  <c r="G22"/>
  <c r="P11"/>
  <c r="M11"/>
  <c r="J11"/>
  <c r="G11"/>
  <c r="P24"/>
  <c r="M24"/>
  <c r="J24"/>
  <c r="G24"/>
  <c r="P28"/>
  <c r="M28"/>
  <c r="J28"/>
  <c r="G28"/>
  <c r="P39"/>
  <c r="M39"/>
  <c r="J39"/>
  <c r="G39"/>
  <c r="P38"/>
  <c r="M38"/>
  <c r="J38"/>
  <c r="G38"/>
  <c r="P27"/>
  <c r="M27"/>
  <c r="J27"/>
  <c r="G27"/>
  <c r="P23"/>
  <c r="M23"/>
  <c r="J23"/>
  <c r="G23"/>
  <c r="P14"/>
  <c r="M14"/>
  <c r="J14"/>
  <c r="G14"/>
  <c r="P42"/>
  <c r="M42"/>
  <c r="J42"/>
  <c r="G42"/>
  <c r="P43"/>
  <c r="M43"/>
  <c r="J43"/>
  <c r="G43"/>
  <c r="P29"/>
  <c r="M29"/>
  <c r="J29"/>
  <c r="G29"/>
  <c r="P19"/>
  <c r="M19"/>
  <c r="J19"/>
  <c r="G19"/>
  <c r="P26"/>
  <c r="M26"/>
  <c r="J26"/>
  <c r="G26"/>
  <c r="P17"/>
  <c r="M17"/>
  <c r="J17"/>
  <c r="G17"/>
  <c r="P13"/>
  <c r="M13"/>
  <c r="J13"/>
  <c r="G13"/>
  <c r="P32"/>
  <c r="M32"/>
  <c r="J32"/>
  <c r="G32"/>
  <c r="P35"/>
  <c r="M35"/>
  <c r="J35"/>
  <c r="G35"/>
  <c r="P18"/>
  <c r="M18"/>
  <c r="J18"/>
  <c r="G18"/>
  <c r="P20"/>
  <c r="M20"/>
  <c r="J20"/>
  <c r="G20"/>
  <c r="P16"/>
  <c r="M16"/>
  <c r="J16"/>
  <c r="G16"/>
  <c r="P33"/>
  <c r="M33"/>
  <c r="J33"/>
  <c r="G33"/>
  <c r="P9"/>
  <c r="M9"/>
  <c r="J9"/>
  <c r="G9"/>
  <c r="P21"/>
  <c r="M21"/>
  <c r="J21"/>
  <c r="G21"/>
  <c r="P25"/>
  <c r="M25"/>
  <c r="J25"/>
  <c r="G25"/>
  <c r="P34"/>
  <c r="M34"/>
  <c r="J34"/>
  <c r="G34"/>
  <c r="P15"/>
  <c r="M15"/>
  <c r="J15"/>
  <c r="G15"/>
  <c r="P37"/>
  <c r="M37"/>
  <c r="J37"/>
  <c r="G37"/>
  <c r="P12"/>
  <c r="P44" s="1"/>
  <c r="M12"/>
  <c r="M44" s="1"/>
  <c r="J12"/>
  <c r="G12"/>
  <c r="G44" s="1"/>
  <c r="R11" i="7"/>
  <c r="O11"/>
  <c r="N11"/>
  <c r="L11"/>
  <c r="K11"/>
  <c r="I11"/>
  <c r="H11"/>
  <c r="P6"/>
  <c r="M6"/>
  <c r="J6"/>
  <c r="G6"/>
  <c r="P8"/>
  <c r="M8"/>
  <c r="J8"/>
  <c r="G8"/>
  <c r="P9"/>
  <c r="M9"/>
  <c r="J9"/>
  <c r="G9"/>
  <c r="P10"/>
  <c r="M10"/>
  <c r="J10"/>
  <c r="G10"/>
  <c r="P7"/>
  <c r="P11" s="1"/>
  <c r="M7"/>
  <c r="M11" s="1"/>
  <c r="J7"/>
  <c r="J11" s="1"/>
  <c r="G7"/>
  <c r="G11" s="1"/>
  <c r="AB31" i="10" l="1"/>
  <c r="AE31" s="1"/>
  <c r="AA31"/>
  <c r="AA32" s="1"/>
  <c r="Y32"/>
  <c r="J44" i="8"/>
  <c r="M18" i="5"/>
  <c r="M25"/>
  <c r="F18"/>
  <c r="G9" i="12" s="1"/>
  <c r="M9" s="1"/>
  <c r="F25" i="5"/>
  <c r="H9" i="12" s="1"/>
  <c r="N9" s="1"/>
  <c r="AE20" i="5"/>
  <c r="F11" i="6"/>
  <c r="G7" i="12" s="1"/>
  <c r="M7" s="1"/>
  <c r="I173" i="9"/>
  <c r="O173"/>
  <c r="H223"/>
  <c r="O223"/>
  <c r="N173"/>
  <c r="N223"/>
  <c r="L173"/>
  <c r="L223"/>
  <c r="P223"/>
  <c r="H173"/>
  <c r="K173"/>
  <c r="K223"/>
  <c r="I223"/>
  <c r="M107"/>
  <c r="M93"/>
  <c r="G100"/>
  <c r="M100"/>
  <c r="M42"/>
  <c r="G49"/>
  <c r="M49"/>
  <c r="F11" i="7"/>
  <c r="M66" i="9"/>
  <c r="M130"/>
  <c r="J159"/>
  <c r="M36"/>
  <c r="J107"/>
  <c r="G122"/>
  <c r="J115"/>
  <c r="J30"/>
  <c r="M88"/>
  <c r="M193"/>
  <c r="J109"/>
  <c r="J125"/>
  <c r="M133"/>
  <c r="J170"/>
  <c r="G54"/>
  <c r="G165"/>
  <c r="J58"/>
  <c r="G66"/>
  <c r="M83"/>
  <c r="M109"/>
  <c r="M170"/>
  <c r="M71"/>
  <c r="G75"/>
  <c r="J117"/>
  <c r="J182"/>
  <c r="G94"/>
  <c r="J105"/>
  <c r="M147"/>
  <c r="M17"/>
  <c r="M53"/>
  <c r="G51"/>
  <c r="G11"/>
  <c r="G74"/>
  <c r="J38"/>
  <c r="M129"/>
  <c r="M84"/>
  <c r="J120"/>
  <c r="J73"/>
  <c r="M62"/>
  <c r="J91"/>
  <c r="G101"/>
  <c r="J112"/>
  <c r="J84"/>
  <c r="M120"/>
  <c r="M91"/>
  <c r="M192"/>
  <c r="M19"/>
  <c r="M138"/>
  <c r="M143"/>
  <c r="M29"/>
  <c r="J180"/>
  <c r="M45"/>
  <c r="M128"/>
  <c r="M72"/>
  <c r="G163"/>
  <c r="J44"/>
  <c r="J130"/>
  <c r="M76"/>
  <c r="M186"/>
  <c r="M121"/>
  <c r="M124"/>
  <c r="G172"/>
  <c r="J43"/>
  <c r="J50"/>
  <c r="M67"/>
  <c r="M181"/>
  <c r="M168"/>
  <c r="G60"/>
  <c r="M60"/>
  <c r="M25"/>
  <c r="G110"/>
  <c r="M110"/>
  <c r="G137"/>
  <c r="M137"/>
  <c r="M41"/>
  <c r="G12"/>
  <c r="J140"/>
  <c r="M199"/>
  <c r="M106"/>
  <c r="G155"/>
  <c r="M155"/>
  <c r="G69"/>
  <c r="J167"/>
  <c r="J121"/>
  <c r="J14"/>
  <c r="J149"/>
  <c r="M70"/>
  <c r="M119"/>
  <c r="G186"/>
  <c r="M140"/>
  <c r="M108"/>
  <c r="M81"/>
  <c r="M38"/>
  <c r="M11"/>
  <c r="M56"/>
  <c r="M96"/>
  <c r="M14"/>
  <c r="J132"/>
  <c r="G84"/>
  <c r="J22"/>
  <c r="J71"/>
  <c r="J63"/>
  <c r="J129"/>
  <c r="J118"/>
  <c r="J11"/>
  <c r="J114"/>
  <c r="J89"/>
  <c r="J15"/>
  <c r="G30"/>
  <c r="J54"/>
  <c r="J66"/>
  <c r="G21"/>
  <c r="G24"/>
  <c r="J27"/>
  <c r="G108"/>
  <c r="G90"/>
  <c r="G154"/>
  <c r="J124"/>
  <c r="G50"/>
  <c r="G65"/>
  <c r="J39"/>
  <c r="G114"/>
  <c r="G26"/>
  <c r="J56"/>
  <c r="G61"/>
  <c r="G15"/>
  <c r="G126"/>
  <c r="J45"/>
  <c r="J128"/>
  <c r="J37"/>
  <c r="J72"/>
  <c r="J8"/>
  <c r="G82"/>
  <c r="J163"/>
  <c r="G20"/>
  <c r="J31"/>
  <c r="G44"/>
  <c r="G13"/>
  <c r="J34"/>
  <c r="G130"/>
  <c r="J93"/>
  <c r="J28"/>
  <c r="J94"/>
  <c r="M105"/>
  <c r="J35"/>
  <c r="M73"/>
  <c r="G81"/>
  <c r="G143"/>
  <c r="G17"/>
  <c r="G39"/>
  <c r="G119"/>
  <c r="J75"/>
  <c r="G89"/>
  <c r="G168"/>
  <c r="M61"/>
  <c r="J88"/>
  <c r="M18"/>
  <c r="J127"/>
  <c r="G199"/>
  <c r="G27"/>
  <c r="J200"/>
  <c r="M10"/>
  <c r="G96"/>
  <c r="G167"/>
  <c r="J79"/>
  <c r="J78"/>
  <c r="M20"/>
  <c r="M135"/>
  <c r="G33"/>
  <c r="J70"/>
  <c r="M152"/>
  <c r="G35"/>
  <c r="M101"/>
  <c r="M158"/>
  <c r="G46"/>
  <c r="M46"/>
  <c r="J81"/>
  <c r="M171"/>
  <c r="J143"/>
  <c r="M48"/>
  <c r="G57"/>
  <c r="M57"/>
  <c r="J17"/>
  <c r="J111"/>
  <c r="J67"/>
  <c r="G7"/>
  <c r="M7"/>
  <c r="J29"/>
  <c r="J119"/>
  <c r="J59"/>
  <c r="M118"/>
  <c r="M92"/>
  <c r="G53"/>
  <c r="G182"/>
  <c r="J102"/>
  <c r="M184"/>
  <c r="M26"/>
  <c r="J168"/>
  <c r="J144"/>
  <c r="J61"/>
  <c r="G83"/>
  <c r="G115"/>
  <c r="J40"/>
  <c r="M16"/>
  <c r="M98"/>
  <c r="M126"/>
  <c r="G191"/>
  <c r="J192"/>
  <c r="J193"/>
  <c r="J9"/>
  <c r="M125"/>
  <c r="G23"/>
  <c r="J165"/>
  <c r="G127"/>
  <c r="M12"/>
  <c r="M64"/>
  <c r="G116"/>
  <c r="M116"/>
  <c r="J199"/>
  <c r="M82"/>
  <c r="G203"/>
  <c r="G166"/>
  <c r="M166"/>
  <c r="J96"/>
  <c r="J36"/>
  <c r="J97"/>
  <c r="M210"/>
  <c r="M78"/>
  <c r="M52"/>
  <c r="M85"/>
  <c r="J80"/>
  <c r="G121"/>
  <c r="G31"/>
  <c r="G134"/>
  <c r="J13"/>
  <c r="G55"/>
  <c r="J123"/>
  <c r="M28"/>
  <c r="M136"/>
  <c r="M154"/>
  <c r="G104"/>
  <c r="G29"/>
  <c r="J87"/>
  <c r="G47"/>
  <c r="J184"/>
  <c r="J153"/>
  <c r="G164"/>
  <c r="J16"/>
  <c r="J98"/>
  <c r="G192"/>
  <c r="M37"/>
  <c r="G10"/>
  <c r="G36"/>
  <c r="J210"/>
  <c r="J138"/>
  <c r="M32"/>
  <c r="J52"/>
  <c r="M33"/>
  <c r="J55"/>
  <c r="J136"/>
  <c r="G124"/>
  <c r="G112"/>
  <c r="G22"/>
  <c r="G43"/>
  <c r="M111"/>
  <c r="G63"/>
  <c r="G59"/>
  <c r="J53"/>
  <c r="J26"/>
  <c r="G144"/>
  <c r="J83"/>
  <c r="J126"/>
  <c r="G9"/>
  <c r="M54"/>
  <c r="G140"/>
  <c r="G8"/>
  <c r="J82"/>
  <c r="G159"/>
  <c r="G97"/>
  <c r="M80"/>
  <c r="M44"/>
  <c r="G123"/>
  <c r="J154"/>
  <c r="G62"/>
  <c r="J172"/>
  <c r="M43"/>
  <c r="M63"/>
  <c r="M39"/>
  <c r="G76"/>
  <c r="M75"/>
  <c r="M114"/>
  <c r="M182"/>
  <c r="M89"/>
  <c r="G56"/>
  <c r="J60"/>
  <c r="M15"/>
  <c r="G16"/>
  <c r="G18"/>
  <c r="J137"/>
  <c r="J191"/>
  <c r="G45"/>
  <c r="G109"/>
  <c r="G133"/>
  <c r="M165"/>
  <c r="G128"/>
  <c r="G19"/>
  <c r="J12"/>
  <c r="J21"/>
  <c r="M8"/>
  <c r="M27"/>
  <c r="J203"/>
  <c r="J151"/>
  <c r="M159"/>
  <c r="M167"/>
  <c r="G107"/>
  <c r="G32"/>
  <c r="J108"/>
  <c r="J20"/>
  <c r="J90"/>
  <c r="M31"/>
  <c r="M13"/>
  <c r="G14"/>
  <c r="G152"/>
  <c r="J100"/>
  <c r="J104"/>
  <c r="M94"/>
  <c r="J147"/>
  <c r="M132"/>
  <c r="M35"/>
  <c r="J62"/>
  <c r="G91"/>
  <c r="G158"/>
  <c r="M172"/>
  <c r="J46"/>
  <c r="G171"/>
  <c r="G48"/>
  <c r="M51"/>
  <c r="J57"/>
  <c r="M50"/>
  <c r="J7"/>
  <c r="J65"/>
  <c r="G87"/>
  <c r="M87"/>
  <c r="M59"/>
  <c r="J76"/>
  <c r="G92"/>
  <c r="J47"/>
  <c r="G117"/>
  <c r="M117"/>
  <c r="J181"/>
  <c r="J74"/>
  <c r="G102"/>
  <c r="M102"/>
  <c r="G184"/>
  <c r="G153"/>
  <c r="M153"/>
  <c r="M144"/>
  <c r="G25"/>
  <c r="M164"/>
  <c r="J110"/>
  <c r="J122"/>
  <c r="G40"/>
  <c r="M40"/>
  <c r="M30"/>
  <c r="J18"/>
  <c r="G98"/>
  <c r="G41"/>
  <c r="M191"/>
  <c r="M9"/>
  <c r="J133"/>
  <c r="G170"/>
  <c r="J23"/>
  <c r="G58"/>
  <c r="M58"/>
  <c r="M127"/>
  <c r="J19"/>
  <c r="G72"/>
  <c r="G64"/>
  <c r="M21"/>
  <c r="J116"/>
  <c r="J24"/>
  <c r="G200"/>
  <c r="G106"/>
  <c r="M203"/>
  <c r="J155"/>
  <c r="M151"/>
  <c r="J10"/>
  <c r="J166"/>
  <c r="J69"/>
  <c r="G79"/>
  <c r="M79"/>
  <c r="M97"/>
  <c r="M163"/>
  <c r="J32"/>
  <c r="G78"/>
  <c r="J85"/>
  <c r="G80"/>
  <c r="G135"/>
  <c r="M90"/>
  <c r="J33"/>
  <c r="J134"/>
  <c r="G34"/>
  <c r="M34"/>
  <c r="M55"/>
  <c r="M123"/>
  <c r="M149"/>
  <c r="J152"/>
  <c r="G136"/>
  <c r="G42"/>
  <c r="M104"/>
  <c r="J49"/>
  <c r="P173"/>
  <c r="G147"/>
  <c r="G120"/>
  <c r="J101"/>
  <c r="M112"/>
  <c r="M22"/>
  <c r="J51"/>
  <c r="G129"/>
  <c r="M180"/>
  <c r="J186"/>
  <c r="J164"/>
  <c r="M115"/>
  <c r="G105"/>
  <c r="G73"/>
  <c r="J158"/>
  <c r="J171"/>
  <c r="J48"/>
  <c r="G67"/>
  <c r="M65"/>
  <c r="G118"/>
  <c r="M47"/>
  <c r="M74"/>
  <c r="J25"/>
  <c r="M122"/>
  <c r="G88"/>
  <c r="J41"/>
  <c r="G125"/>
  <c r="M23"/>
  <c r="G37"/>
  <c r="J64"/>
  <c r="M24"/>
  <c r="J106"/>
  <c r="M69"/>
  <c r="G138"/>
  <c r="J135"/>
  <c r="M134"/>
  <c r="G28"/>
  <c r="G70"/>
  <c r="J42"/>
  <c r="R11" i="6"/>
  <c r="Q11"/>
  <c r="L11"/>
  <c r="K11"/>
  <c r="I11"/>
  <c r="H11"/>
  <c r="P7"/>
  <c r="J7"/>
  <c r="G7"/>
  <c r="P6"/>
  <c r="J6"/>
  <c r="G6"/>
  <c r="P8"/>
  <c r="J8"/>
  <c r="G8"/>
  <c r="P10"/>
  <c r="J10"/>
  <c r="G10"/>
  <c r="P9"/>
  <c r="J9"/>
  <c r="G9"/>
  <c r="P24" i="5"/>
  <c r="J24"/>
  <c r="G24"/>
  <c r="P23"/>
  <c r="J23"/>
  <c r="G23"/>
  <c r="P22"/>
  <c r="J22"/>
  <c r="G22"/>
  <c r="P21"/>
  <c r="J21"/>
  <c r="G21"/>
  <c r="P20"/>
  <c r="P25" s="1"/>
  <c r="J20"/>
  <c r="G20"/>
  <c r="P12"/>
  <c r="J12"/>
  <c r="G12"/>
  <c r="P9"/>
  <c r="J9"/>
  <c r="G9"/>
  <c r="P14"/>
  <c r="J14"/>
  <c r="G14"/>
  <c r="P13"/>
  <c r="J13"/>
  <c r="G13"/>
  <c r="P7"/>
  <c r="J7"/>
  <c r="G7"/>
  <c r="P15"/>
  <c r="J15"/>
  <c r="G15"/>
  <c r="P17"/>
  <c r="J17"/>
  <c r="P11"/>
  <c r="J11"/>
  <c r="G11"/>
  <c r="P10"/>
  <c r="J10"/>
  <c r="G10"/>
  <c r="P8"/>
  <c r="J8"/>
  <c r="G8"/>
  <c r="P16"/>
  <c r="J16"/>
  <c r="G16"/>
  <c r="P35" i="4"/>
  <c r="M35"/>
  <c r="J35"/>
  <c r="G35"/>
  <c r="P34"/>
  <c r="M34"/>
  <c r="J34"/>
  <c r="G34"/>
  <c r="P33"/>
  <c r="M33"/>
  <c r="J33"/>
  <c r="G33"/>
  <c r="Q32"/>
  <c r="P32" s="1"/>
  <c r="N32"/>
  <c r="M32" s="1"/>
  <c r="K32"/>
  <c r="J32" s="1"/>
  <c r="H32"/>
  <c r="G32" s="1"/>
  <c r="Q31"/>
  <c r="P31" s="1"/>
  <c r="N31"/>
  <c r="M31" s="1"/>
  <c r="K31"/>
  <c r="J31" s="1"/>
  <c r="H31"/>
  <c r="G31" s="1"/>
  <c r="P30"/>
  <c r="N30"/>
  <c r="M30" s="1"/>
  <c r="K30"/>
  <c r="J30" s="1"/>
  <c r="H30"/>
  <c r="G30" s="1"/>
  <c r="P29"/>
  <c r="N29"/>
  <c r="M29" s="1"/>
  <c r="K29"/>
  <c r="J29" s="1"/>
  <c r="H29"/>
  <c r="G29" s="1"/>
  <c r="Q28"/>
  <c r="P28" s="1"/>
  <c r="N28"/>
  <c r="M28" s="1"/>
  <c r="K28"/>
  <c r="J28" s="1"/>
  <c r="H28"/>
  <c r="G28" s="1"/>
  <c r="Q27"/>
  <c r="P27" s="1"/>
  <c r="N27"/>
  <c r="M27" s="1"/>
  <c r="K27"/>
  <c r="J27" s="1"/>
  <c r="H27"/>
  <c r="G27" s="1"/>
  <c r="Q26"/>
  <c r="P26" s="1"/>
  <c r="N26"/>
  <c r="M26" s="1"/>
  <c r="K26"/>
  <c r="J26" s="1"/>
  <c r="H26"/>
  <c r="G26" s="1"/>
  <c r="P25"/>
  <c r="M25"/>
  <c r="J25"/>
  <c r="G25"/>
  <c r="Q24"/>
  <c r="N24"/>
  <c r="K24"/>
  <c r="H24"/>
  <c r="G24" s="1"/>
  <c r="P23"/>
  <c r="M23"/>
  <c r="J23"/>
  <c r="H23"/>
  <c r="P22"/>
  <c r="O22"/>
  <c r="L22"/>
  <c r="L36" s="1"/>
  <c r="I22"/>
  <c r="G22" s="1"/>
  <c r="P21"/>
  <c r="M21"/>
  <c r="J21"/>
  <c r="I21"/>
  <c r="P9"/>
  <c r="M9"/>
  <c r="J9"/>
  <c r="G9"/>
  <c r="P12"/>
  <c r="M12"/>
  <c r="J12"/>
  <c r="G12"/>
  <c r="P15"/>
  <c r="M15"/>
  <c r="J15"/>
  <c r="G15"/>
  <c r="Q11"/>
  <c r="P11" s="1"/>
  <c r="M11"/>
  <c r="J11"/>
  <c r="G11"/>
  <c r="P8"/>
  <c r="O8"/>
  <c r="M8" s="1"/>
  <c r="J8"/>
  <c r="H8"/>
  <c r="G8" s="1"/>
  <c r="R10"/>
  <c r="Q10"/>
  <c r="O10"/>
  <c r="N10"/>
  <c r="L10"/>
  <c r="K10"/>
  <c r="I10"/>
  <c r="H10"/>
  <c r="R14"/>
  <c r="Q14"/>
  <c r="O14"/>
  <c r="N14"/>
  <c r="L14"/>
  <c r="K14"/>
  <c r="I14"/>
  <c r="H14"/>
  <c r="R16"/>
  <c r="Q16"/>
  <c r="O16"/>
  <c r="N16"/>
  <c r="L16"/>
  <c r="K16"/>
  <c r="I16"/>
  <c r="H16"/>
  <c r="R7"/>
  <c r="Q7"/>
  <c r="O7"/>
  <c r="N7"/>
  <c r="L7"/>
  <c r="K7"/>
  <c r="I7"/>
  <c r="H7"/>
  <c r="P20"/>
  <c r="M20"/>
  <c r="J20"/>
  <c r="G20"/>
  <c r="R17"/>
  <c r="R18" s="1"/>
  <c r="Q17"/>
  <c r="O17"/>
  <c r="N17"/>
  <c r="N18" s="1"/>
  <c r="L17"/>
  <c r="L18" s="1"/>
  <c r="K17"/>
  <c r="K18" s="1"/>
  <c r="I17"/>
  <c r="I18" s="1"/>
  <c r="H17"/>
  <c r="H18" s="1"/>
  <c r="AD31" i="10" l="1"/>
  <c r="AD32" s="1"/>
  <c r="AB32"/>
  <c r="J11" i="6"/>
  <c r="P11"/>
  <c r="G11"/>
  <c r="P18" i="5"/>
  <c r="J18"/>
  <c r="G18"/>
  <c r="G25"/>
  <c r="J25"/>
  <c r="P24" i="4"/>
  <c r="P36" s="1"/>
  <c r="Q36"/>
  <c r="G21"/>
  <c r="I36"/>
  <c r="G23"/>
  <c r="H36"/>
  <c r="M22"/>
  <c r="O36"/>
  <c r="M24"/>
  <c r="M36" s="1"/>
  <c r="N36"/>
  <c r="J24"/>
  <c r="K36"/>
  <c r="G36"/>
  <c r="Q18"/>
  <c r="J7"/>
  <c r="P7"/>
  <c r="J16"/>
  <c r="O18"/>
  <c r="J36"/>
  <c r="G16"/>
  <c r="F7" i="12"/>
  <c r="L7" s="1"/>
  <c r="M14" i="4"/>
  <c r="M10"/>
  <c r="J14"/>
  <c r="G11" i="12"/>
  <c r="G223" i="9"/>
  <c r="H14" i="12"/>
  <c r="F9"/>
  <c r="L9" s="1"/>
  <c r="M223" i="9"/>
  <c r="G173"/>
  <c r="M173"/>
  <c r="J173"/>
  <c r="J223"/>
  <c r="M17" i="4"/>
  <c r="P16"/>
  <c r="J10"/>
  <c r="G17"/>
  <c r="G14"/>
  <c r="P17"/>
  <c r="M16"/>
  <c r="P10"/>
  <c r="J17"/>
  <c r="G7"/>
  <c r="M7"/>
  <c r="P14"/>
  <c r="J22"/>
  <c r="G10"/>
  <c r="P18" l="1"/>
  <c r="G18"/>
  <c r="J18"/>
  <c r="M18"/>
  <c r="G14" i="12"/>
  <c r="M11"/>
  <c r="F11"/>
  <c r="L11" s="1"/>
  <c r="R11" i="1"/>
  <c r="R15"/>
  <c r="R7"/>
  <c r="R8"/>
  <c r="Q8"/>
  <c r="N9"/>
  <c r="N8"/>
  <c r="O8"/>
  <c r="O9"/>
  <c r="O10"/>
  <c r="O11"/>
  <c r="N11"/>
  <c r="O7"/>
  <c r="N10"/>
  <c r="L11"/>
  <c r="K11"/>
  <c r="L8"/>
  <c r="K8"/>
  <c r="L7"/>
  <c r="L10"/>
  <c r="K10"/>
  <c r="K7"/>
  <c r="K43"/>
  <c r="I11"/>
  <c r="H11"/>
  <c r="I25"/>
  <c r="H25"/>
  <c r="I32"/>
  <c r="H32"/>
  <c r="I34"/>
  <c r="H34"/>
  <c r="I41"/>
  <c r="H41"/>
  <c r="I42"/>
  <c r="H42"/>
  <c r="I37"/>
  <c r="H37"/>
  <c r="I44"/>
  <c r="H44"/>
  <c r="I10"/>
  <c r="H10"/>
  <c r="I43"/>
  <c r="H43"/>
  <c r="F14" i="12" l="1"/>
  <c r="I8" i="1"/>
  <c r="L12"/>
  <c r="L16" s="1"/>
  <c r="R14" l="1"/>
  <c r="R13"/>
  <c r="R9"/>
  <c r="Q15"/>
  <c r="Q12"/>
  <c r="Q13"/>
  <c r="Q9"/>
  <c r="O29"/>
  <c r="L29"/>
  <c r="K29"/>
  <c r="I29"/>
  <c r="H29"/>
  <c r="R35"/>
  <c r="Q35"/>
  <c r="O35"/>
  <c r="N35"/>
  <c r="L35"/>
  <c r="K35"/>
  <c r="I35"/>
  <c r="H35"/>
  <c r="R28"/>
  <c r="Q28"/>
  <c r="O28"/>
  <c r="N28"/>
  <c r="L28"/>
  <c r="K28"/>
  <c r="I28"/>
  <c r="H28"/>
  <c r="Q24"/>
  <c r="N24"/>
  <c r="K24"/>
  <c r="H24"/>
  <c r="R20"/>
  <c r="Q20"/>
  <c r="O20"/>
  <c r="N20"/>
  <c r="L20"/>
  <c r="K20"/>
  <c r="I20"/>
  <c r="H20"/>
  <c r="R27"/>
  <c r="Q27"/>
  <c r="O27"/>
  <c r="N27"/>
  <c r="L27"/>
  <c r="K27"/>
  <c r="I27"/>
  <c r="H27"/>
  <c r="R30"/>
  <c r="O30"/>
  <c r="L30"/>
  <c r="I30"/>
  <c r="R25"/>
  <c r="Q25"/>
  <c r="O25"/>
  <c r="N25"/>
  <c r="L25"/>
  <c r="K25"/>
  <c r="R18"/>
  <c r="Q18"/>
  <c r="O18"/>
  <c r="N18"/>
  <c r="L18"/>
  <c r="K18"/>
  <c r="I18"/>
  <c r="H18"/>
  <c r="R31"/>
  <c r="Q31"/>
  <c r="N31"/>
  <c r="O31"/>
  <c r="L31"/>
  <c r="K31"/>
  <c r="I31"/>
  <c r="H31"/>
  <c r="R44"/>
  <c r="Q44"/>
  <c r="L44"/>
  <c r="O44"/>
  <c r="N44"/>
  <c r="K44"/>
  <c r="R22"/>
  <c r="Q22"/>
  <c r="O22"/>
  <c r="N22"/>
  <c r="L22"/>
  <c r="K22"/>
  <c r="I22"/>
  <c r="H22"/>
  <c r="R38"/>
  <c r="O38"/>
  <c r="N38"/>
  <c r="L38"/>
  <c r="K38"/>
  <c r="I38"/>
  <c r="H38"/>
  <c r="R19"/>
  <c r="Q19"/>
  <c r="O19"/>
  <c r="N19"/>
  <c r="L19"/>
  <c r="K19"/>
  <c r="I19"/>
  <c r="H19"/>
  <c r="R42"/>
  <c r="Q42"/>
  <c r="O42"/>
  <c r="N42"/>
  <c r="L42"/>
  <c r="K42"/>
  <c r="R37"/>
  <c r="Q37"/>
  <c r="O37"/>
  <c r="N37"/>
  <c r="L37"/>
  <c r="K37"/>
  <c r="R34"/>
  <c r="Q34"/>
  <c r="O34"/>
  <c r="N34"/>
  <c r="L34"/>
  <c r="K34"/>
  <c r="R43"/>
  <c r="Q43"/>
  <c r="O43"/>
  <c r="N43"/>
  <c r="L43"/>
  <c r="R26"/>
  <c r="Q26"/>
  <c r="O26"/>
  <c r="N26"/>
  <c r="L26"/>
  <c r="K26"/>
  <c r="I26"/>
  <c r="H26"/>
  <c r="R41"/>
  <c r="Q41"/>
  <c r="O41"/>
  <c r="N41"/>
  <c r="L41"/>
  <c r="K41"/>
  <c r="R21"/>
  <c r="Q21"/>
  <c r="O21"/>
  <c r="N21"/>
  <c r="L21"/>
  <c r="K21"/>
  <c r="I21"/>
  <c r="H21"/>
  <c r="O50" l="1"/>
  <c r="H50"/>
  <c r="N50"/>
  <c r="K50"/>
  <c r="I50"/>
  <c r="L50"/>
  <c r="R16"/>
  <c r="Q11"/>
  <c r="R10"/>
  <c r="Q10"/>
  <c r="Q16" s="1"/>
  <c r="Q7"/>
  <c r="R12"/>
  <c r="R46"/>
  <c r="R45"/>
  <c r="R40"/>
  <c r="R32"/>
  <c r="R23"/>
  <c r="R50" s="1"/>
  <c r="Q49"/>
  <c r="Q46"/>
  <c r="Q45"/>
  <c r="Q39"/>
  <c r="Q36"/>
  <c r="Q50" s="1"/>
  <c r="Q33"/>
  <c r="Q32"/>
  <c r="P18" l="1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J48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P10"/>
  <c r="P11"/>
  <c r="P14"/>
  <c r="P15"/>
  <c r="P7"/>
  <c r="P12"/>
  <c r="P13"/>
  <c r="P9"/>
  <c r="G19"/>
  <c r="G18"/>
  <c r="G41"/>
  <c r="G42"/>
  <c r="G43"/>
  <c r="G44"/>
  <c r="G45"/>
  <c r="G46"/>
  <c r="G47"/>
  <c r="G48"/>
  <c r="G34"/>
  <c r="G35"/>
  <c r="G36"/>
  <c r="G37"/>
  <c r="G38"/>
  <c r="G39"/>
  <c r="G40"/>
  <c r="G49"/>
  <c r="G33"/>
  <c r="G20"/>
  <c r="G21"/>
  <c r="G22"/>
  <c r="G23"/>
  <c r="G24"/>
  <c r="G25"/>
  <c r="G26"/>
  <c r="G27"/>
  <c r="G28"/>
  <c r="G29"/>
  <c r="G30"/>
  <c r="G31"/>
  <c r="G32"/>
  <c r="G10"/>
  <c r="M11"/>
  <c r="J11"/>
  <c r="N7"/>
  <c r="J7"/>
  <c r="I7"/>
  <c r="H7"/>
  <c r="O12"/>
  <c r="O16" s="1"/>
  <c r="N12"/>
  <c r="N16" s="1"/>
  <c r="K12"/>
  <c r="K16" s="1"/>
  <c r="I12"/>
  <c r="H12"/>
  <c r="H8"/>
  <c r="H16" s="1"/>
  <c r="M9"/>
  <c r="M13"/>
  <c r="M7"/>
  <c r="M15"/>
  <c r="M14"/>
  <c r="M10"/>
  <c r="J9"/>
  <c r="J13"/>
  <c r="J12"/>
  <c r="J15"/>
  <c r="J14"/>
  <c r="J10"/>
  <c r="G9"/>
  <c r="G13"/>
  <c r="G15"/>
  <c r="G14"/>
  <c r="G12" l="1"/>
  <c r="I16"/>
  <c r="G50"/>
  <c r="P50"/>
  <c r="J50"/>
  <c r="M50"/>
  <c r="M12"/>
  <c r="P8"/>
  <c r="P16" s="1"/>
  <c r="M8"/>
  <c r="M16" s="1"/>
  <c r="J8"/>
  <c r="J16" s="1"/>
  <c r="G11"/>
  <c r="G7"/>
  <c r="G8"/>
  <c r="G16" l="1"/>
  <c r="T8" i="13"/>
  <c r="N8"/>
  <c r="W8"/>
  <c r="AC8"/>
  <c r="Q8"/>
  <c r="Z8"/>
  <c r="W9" l="1"/>
  <c r="U8"/>
  <c r="U9" s="1"/>
  <c r="X8"/>
  <c r="X9" s="1"/>
  <c r="N9"/>
  <c r="AA8"/>
  <c r="AA9" s="1"/>
  <c r="Z9"/>
  <c r="AC9"/>
  <c r="AD8"/>
  <c r="AD9" s="1"/>
  <c r="O8"/>
  <c r="O9" s="1"/>
  <c r="Q9"/>
  <c r="T9"/>
  <c r="R8"/>
  <c r="R9" s="1"/>
  <c r="S8" l="1"/>
  <c r="S9" s="1"/>
  <c r="AB8"/>
  <c r="AE8" s="1"/>
  <c r="M8"/>
  <c r="M9" s="1"/>
  <c r="V8"/>
  <c r="V9" s="1"/>
  <c r="P8"/>
  <c r="P9" s="1"/>
  <c r="Y8"/>
  <c r="Y9" s="1"/>
  <c r="AB9" l="1"/>
  <c r="J12" i="12" s="1"/>
  <c r="M12" l="1"/>
  <c r="I12"/>
  <c r="J14"/>
  <c r="I14" l="1"/>
  <c r="L12"/>
</calcChain>
</file>

<file path=xl/sharedStrings.xml><?xml version="1.0" encoding="utf-8"?>
<sst xmlns="http://schemas.openxmlformats.org/spreadsheetml/2006/main" count="1700" uniqueCount="155">
  <si>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</si>
  <si>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</si>
  <si>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</si>
  <si>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</si>
  <si>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</si>
  <si>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</si>
  <si>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</si>
  <si>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</si>
  <si>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</si>
  <si>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</si>
  <si>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Задолженность населения за ЖКУ по состоянию на 01.01.2018</t>
  </si>
  <si>
    <t>Задолженность населения за ЖКУ по состоянию на 01.07.2018</t>
  </si>
  <si>
    <t>Задолженность населения за ЖКУ по состоянию на 01.08.2018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</si>
  <si>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</si>
  <si>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</si>
  <si>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</si>
  <si>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</si>
  <si>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</si>
  <si>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</si>
  <si>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</si>
  <si>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</si>
  <si>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</si>
  <si>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</si>
  <si>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</si>
  <si>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</si>
  <si>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</si>
  <si>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</si>
  <si>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</si>
  <si>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</si>
  <si>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</si>
  <si>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</si>
  <si>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</si>
  <si>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</si>
  <si>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</si>
  <si>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</si>
  <si>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</si>
  <si>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</si>
  <si>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</si>
  <si>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</si>
  <si>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</si>
  <si>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</si>
  <si>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>Задолженность населения за ЖКУ по состоянию на 01.09.2018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</si>
  <si>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</si>
  <si>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</si>
  <si>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</si>
  <si>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</si>
  <si>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</si>
  <si>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</si>
  <si>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</si>
  <si>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</si>
  <si>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</si>
  <si>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</si>
  <si>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</si>
  <si>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ООО "Коми-Сервис"</t>
  </si>
  <si>
    <t>Хатанзейского</t>
  </si>
  <si>
    <t>Меньшикова</t>
  </si>
  <si>
    <t xml:space="preserve">Торговый проезд </t>
  </si>
  <si>
    <t>Оленная</t>
  </si>
  <si>
    <t>им. Проф. Г.А. Чернова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</si>
  <si>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</si>
  <si>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</si>
  <si>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</si>
  <si>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</si>
  <si>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</si>
  <si>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</si>
  <si>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пр.Им.кап.Матросова</t>
  </si>
  <si>
    <t>Рейтинг задолженности населения, проживающего в многоквартирныхжомах, за жилищно-коммунальные услуги</t>
  </si>
  <si>
    <t>Наименование УО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</si>
  <si>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</si>
  <si>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</si>
  <si>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</si>
  <si>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</si>
  <si>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</si>
  <si>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</si>
  <si>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</si>
  <si>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</si>
  <si>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</si>
  <si>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</si>
  <si>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</si>
  <si>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</si>
  <si>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</si>
  <si>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</si>
  <si>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</si>
  <si>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</si>
  <si>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</si>
  <si>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</si>
  <si>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</si>
  <si>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</si>
  <si>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</si>
  <si>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</si>
  <si>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</si>
  <si>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</si>
  <si>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</si>
  <si>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</si>
  <si>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</si>
  <si>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</si>
  <si>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</si>
  <si>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</si>
  <si>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</si>
  <si>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</si>
  <si>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</si>
  <si>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</si>
  <si>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</si>
  <si>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</si>
  <si>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</si>
  <si>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</si>
  <si>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</si>
  <si>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</si>
  <si>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>(Информация сформирована с учетом многоквартирных домов, которые на сегодняшний день находятся под управлением других управляющих организаций.)</t>
  </si>
  <si>
    <t xml:space="preserve">Задолженность за ЖКУ с квартиры  </t>
  </si>
  <si>
    <t>Задолженность населения за ЖКУ по состоянию на 01.10.2018</t>
  </si>
  <si>
    <t xml:space="preserve">Бондарная </t>
  </si>
  <si>
    <t>Пустозерская</t>
  </si>
  <si>
    <r>
      <t xml:space="preserve">(Информация сформирована с учетом многоквартирных домов </t>
    </r>
    <r>
      <rPr>
        <b/>
        <sz val="11"/>
        <color theme="3" tint="0.39997558519241921"/>
        <rFont val="Calibri"/>
        <family val="2"/>
        <charset val="204"/>
        <scheme val="minor"/>
      </rPr>
      <t>(с 01.10.2018)</t>
    </r>
    <r>
      <rPr>
        <b/>
        <sz val="11"/>
        <color rgb="FFFF0000"/>
        <rFont val="Calibri"/>
        <family val="2"/>
        <charset val="204"/>
        <scheme val="minor"/>
      </rPr>
      <t xml:space="preserve">, которые на сегодняшний день находятся под управлением других управляющих организаций.) </t>
    </r>
  </si>
  <si>
    <t xml:space="preserve">Наименование организации </t>
  </si>
  <si>
    <t>Задолженность населения за ЖКУ  в расчете на 1 квартиру</t>
  </si>
  <si>
    <t>ООО УК"Нарьян-Марстрой"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</si>
  <si>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</si>
  <si>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</si>
  <si>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</si>
  <si>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</si>
  <si>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Задолженность населения за ЖКУ по состоянию на 01.11.2018</t>
  </si>
  <si>
    <t>Многовкартирные дома, обслуживание которых завершено.</t>
  </si>
  <si>
    <t>Многоквартиные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</si>
  <si>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</si>
  <si>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</si>
  <si>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</si>
  <si>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</si>
  <si>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</si>
  <si>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</si>
  <si>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</si>
  <si>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Количество многоквартирных домов, всего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</si>
  <si>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</si>
  <si>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</si>
  <si>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</si>
  <si>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</si>
  <si>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</si>
  <si>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</si>
  <si>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</si>
  <si>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</si>
  <si>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</si>
  <si>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Задолженность населения за ЖКУ по состоянию на 01.12.2018</t>
  </si>
  <si>
    <t>Задолженность населения за ЖКУ по состоянию на 01.01.2019</t>
  </si>
  <si>
    <t>Рейтинг задолженности населения, проживающего в многоквартирных домах, за жилищно-коммунальные услуги по состоянию на 01.01.2019, в разрезе действующих управляющих организаций (тыс. руб.)</t>
  </si>
  <si>
    <t>Примечание:</t>
  </si>
  <si>
    <t xml:space="preserve">По состоянию на 01.01.2019 максимальная задолженность за ЖКУ сформирована по многоквартирному дому по адресу ул. Ленина, д. 21А, (98 квартир). </t>
  </si>
  <si>
    <t>По состоянию на 01.01.2019 максимальная задолженность за ЖКУ сформирована по многоквартирному дому по адресу ул. Выучейского, д. 12 (96 квартир).</t>
  </si>
  <si>
    <t xml:space="preserve">По состоянию на 01.01.2019 максимальная задолженность за ЖКУ сформирована по многоквартирному дому по адресу ул. Хатанзейского, д. 13 (70 квартир).  </t>
  </si>
  <si>
    <t xml:space="preserve">По состоянию на 01.01.2019 максимальная задолженность за ЖКУ сформирована по многоквартирному дому по адресу ул. Сущинского, д. 4 (140 квартир).  </t>
  </si>
  <si>
    <t>По состоянию на 01.01.2019 максимальная задолженность за ЖКУ сформирована по многоквартирному дому по адресу ул. Ленина, д. 38 (143 квартиры).  Учитывая задолженность за ЖКУ с квартиры, то максимальная задолженность сформирована по многоквартирному дому по адресу пр. им. капитана Матросова, д. 8 (98 квартир).</t>
  </si>
  <si>
    <t xml:space="preserve">По состоянию на 01.01.2019 максимальная задолженность за ЖКУ сформирована по многоквартирному дому по адресу ул. Выучейского, д. 36 (66 квартир).  </t>
  </si>
  <si>
    <t>По состоянию на 01.01.2019 максимальная задолженность за ЖКУ сформирована по многоквартирному дому по адресу ул. Авиаторов, д. 22 (80 квартир).  Учитывая задолженность за ЖКУ с квартиры, то максимальная задолженность сформирована по многоквартирному дому по адресу ул. Заводская, д. 13 (8 квартир).</t>
  </si>
  <si>
    <t>По состоянию на 01.01.2019 максимальная задолженность за ЖКУ сформирована по многоквартирному дому по адресу ул. Выучейского, д. 12 (96 квартир).  Учитывая задолженность за ЖКУ с квартиры, то максимальная задолженность сформирована по многоквартирному дому по адресу ул. Рабочая, д. 39 (18 квартир).</t>
  </si>
  <si>
    <t>По состоянию на 01.01.2019 максимальная задолженность за ЖКУ сформирована по многоквартирному дому по адресу ул. Выучейского, д. 10 (72 квартиры).  Учитывая задолженность за ЖКУ с квартиры, то максимальная задолженность сформирована по многоквартирному дому по адресу ул. Зеленая , д. 17А (8 квартир).</t>
  </si>
  <si>
    <t>По состоянию на 01.01.2019 максимальная задолженность за ЖКУ сформирована по многоквартирному дому по адресу ул. Победы, д. 8А (72 квартиры).  Учитывая задолженность за ЖКУ с квартиры, то максимальная задолженность сформирована по многоквартирному дому по адресу ул. Титова, д. 4 (35 квартир).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</si>
</sst>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#,##0.00\ _₽"/>
    <numFmt numFmtId="167" formatCode="0.0"/>
    <numFmt numFmtId="168" formatCode="#,##0.0"/>
  </numFmts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165" fontId="23" fillId="0" borderId="0" applyFont="0" applyFill="0" applyBorder="0" applyAlignment="0" applyProtection="0"/>
    <xf numFmtId="0" fontId="5" fillId="0" borderId="0"/>
    <xf numFmtId="0" fontId="2" fillId="0" borderId="0"/>
    <xf numFmtId="0" fontId="28" fillId="0" borderId="0"/>
    <xf numFmtId="0" fontId="29" fillId="0" borderId="0"/>
    <xf numFmtId="0" fontId="33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</cellStyleXfs>
  <cellXfs count="330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1" xfId="48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/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23" fillId="0" borderId="0" xfId="48"/>
    <xf numFmtId="0" fontId="23" fillId="0" borderId="0" xfId="48" applyAlignment="1">
      <alignment horizontal="right"/>
    </xf>
    <xf numFmtId="0" fontId="3" fillId="0" borderId="11" xfId="52" applyFont="1" applyBorder="1" applyAlignment="1">
      <alignment horizontal="center" vertical="center" wrapText="1"/>
    </xf>
    <xf numFmtId="0" fontId="25" fillId="0" borderId="0" xfId="48" applyFont="1"/>
    <xf numFmtId="0" fontId="5" fillId="0" borderId="0" xfId="48" applyFont="1"/>
    <xf numFmtId="0" fontId="27" fillId="0" borderId="0" xfId="48" applyFont="1"/>
    <xf numFmtId="0" fontId="30" fillId="0" borderId="0" xfId="0" applyFont="1"/>
    <xf numFmtId="0" fontId="30" fillId="0" borderId="10" xfId="0" applyFont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0" xfId="0" applyNumberFormat="1" applyBorder="1"/>
    <xf numFmtId="168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48" applyFont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24" fillId="0" borderId="0" xfId="0" applyFont="1" applyFill="1" applyAlignment="1">
      <alignment horizontal="right"/>
    </xf>
    <xf numFmtId="4" fontId="0" fillId="0" borderId="10" xfId="0" applyNumberFormat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3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26" borderId="10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48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4" fontId="0" fillId="26" borderId="10" xfId="0" applyNumberFormat="1" applyFill="1" applyBorder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5" fillId="0" borderId="0" xfId="52"/>
    <xf numFmtId="0" fontId="26" fillId="0" borderId="0" xfId="52" applyFont="1"/>
    <xf numFmtId="4" fontId="0" fillId="26" borderId="10" xfId="0" applyNumberFormat="1" applyFill="1" applyBorder="1"/>
    <xf numFmtId="168" fontId="0" fillId="26" borderId="11" xfId="0" applyNumberFormat="1" applyFill="1" applyBorder="1" applyAlignment="1">
      <alignment horizontal="center"/>
    </xf>
    <xf numFmtId="0" fontId="34" fillId="0" borderId="0" xfId="0" applyFont="1" applyAlignment="1"/>
    <xf numFmtId="0" fontId="1" fillId="0" borderId="0" xfId="48" applyFont="1" applyAlignment="1"/>
    <xf numFmtId="0" fontId="1" fillId="0" borderId="0" xfId="0" applyFont="1" applyFill="1"/>
    <xf numFmtId="0" fontId="36" fillId="0" borderId="0" xfId="0" applyFont="1"/>
    <xf numFmtId="0" fontId="24" fillId="0" borderId="10" xfId="54" applyFont="1" applyBorder="1" applyAlignment="1">
      <alignment horizontal="center" vertical="center" wrapText="1"/>
    </xf>
    <xf numFmtId="0" fontId="24" fillId="0" borderId="10" xfId="54" applyFont="1" applyFill="1" applyBorder="1" applyAlignment="1">
      <alignment horizontal="center" vertical="center" wrapText="1"/>
    </xf>
    <xf numFmtId="0" fontId="36" fillId="0" borderId="10" xfId="0" applyFont="1" applyFill="1" applyBorder="1"/>
    <xf numFmtId="0" fontId="24" fillId="0" borderId="10" xfId="1" applyFont="1" applyFill="1" applyBorder="1" applyAlignment="1" applyProtection="1">
      <alignment horizontal="left" vertical="center" wrapText="1"/>
      <protection hidden="1"/>
    </xf>
    <xf numFmtId="0" fontId="24" fillId="0" borderId="10" xfId="1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 vertical="center"/>
    </xf>
    <xf numFmtId="4" fontId="24" fillId="0" borderId="11" xfId="52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vertical="top" wrapText="1"/>
    </xf>
    <xf numFmtId="0" fontId="36" fillId="0" borderId="0" xfId="0" applyFont="1" applyFill="1"/>
    <xf numFmtId="4" fontId="24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right" vertical="top"/>
    </xf>
    <xf numFmtId="4" fontId="36" fillId="0" borderId="10" xfId="0" applyNumberFormat="1" applyFont="1" applyFill="1" applyBorder="1" applyAlignment="1">
      <alignment horizontal="center"/>
    </xf>
    <xf numFmtId="4" fontId="24" fillId="0" borderId="10" xfId="52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top" wrapText="1"/>
    </xf>
    <xf numFmtId="4" fontId="36" fillId="0" borderId="10" xfId="0" applyNumberFormat="1" applyFont="1" applyFill="1" applyBorder="1" applyAlignment="1">
      <alignment horizontal="center" vertical="top" wrapText="1"/>
    </xf>
    <xf numFmtId="1" fontId="36" fillId="0" borderId="10" xfId="0" applyNumberFormat="1" applyFont="1" applyFill="1" applyBorder="1" applyAlignment="1">
      <alignment horizontal="center"/>
    </xf>
    <xf numFmtId="0" fontId="37" fillId="0" borderId="10" xfId="1" applyFont="1" applyFill="1" applyBorder="1" applyAlignment="1" applyProtection="1">
      <alignment horizontal="left" vertical="center" wrapText="1"/>
      <protection hidden="1"/>
    </xf>
    <xf numFmtId="0" fontId="36" fillId="25" borderId="0" xfId="0" applyFont="1" applyFill="1"/>
    <xf numFmtId="0" fontId="36" fillId="26" borderId="10" xfId="0" applyFont="1" applyFill="1" applyBorder="1"/>
    <xf numFmtId="0" fontId="36" fillId="0" borderId="10" xfId="0" applyFont="1" applyBorder="1"/>
    <xf numFmtId="4" fontId="36" fillId="0" borderId="10" xfId="0" applyNumberFormat="1" applyFont="1" applyBorder="1" applyAlignment="1">
      <alignment horizontal="center" vertical="center"/>
    </xf>
    <xf numFmtId="4" fontId="24" fillId="0" borderId="11" xfId="52" applyNumberFormat="1" applyFont="1" applyBorder="1" applyAlignment="1">
      <alignment horizontal="center" vertical="center" wrapText="1"/>
    </xf>
    <xf numFmtId="4" fontId="24" fillId="0" borderId="10" xfId="55" applyNumberFormat="1" applyFont="1" applyFill="1" applyBorder="1" applyAlignment="1">
      <alignment horizontal="center" vertical="top"/>
    </xf>
    <xf numFmtId="1" fontId="38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4" fontId="36" fillId="0" borderId="10" xfId="0" applyNumberFormat="1" applyFont="1" applyFill="1" applyBorder="1" applyAlignment="1">
      <alignment vertical="top" wrapText="1"/>
    </xf>
    <xf numFmtId="4" fontId="36" fillId="0" borderId="10" xfId="0" applyNumberFormat="1" applyFont="1" applyFill="1" applyBorder="1"/>
    <xf numFmtId="4" fontId="24" fillId="0" borderId="10" xfId="0" applyNumberFormat="1" applyFont="1" applyFill="1" applyBorder="1" applyAlignment="1">
      <alignment vertical="top"/>
    </xf>
    <xf numFmtId="4" fontId="24" fillId="0" borderId="10" xfId="0" applyNumberFormat="1" applyFont="1" applyFill="1" applyBorder="1"/>
    <xf numFmtId="4" fontId="24" fillId="0" borderId="10" xfId="54" applyNumberFormat="1" applyFont="1" applyFill="1" applyBorder="1" applyAlignment="1">
      <alignment horizontal="center" vertical="center" wrapText="1"/>
    </xf>
    <xf numFmtId="4" fontId="24" fillId="0" borderId="10" xfId="57" applyNumberFormat="1" applyFont="1" applyFill="1" applyBorder="1" applyAlignment="1">
      <alignment horizontal="center" vertical="center" wrapText="1"/>
    </xf>
    <xf numFmtId="0" fontId="36" fillId="25" borderId="10" xfId="0" applyFont="1" applyFill="1" applyBorder="1"/>
    <xf numFmtId="0" fontId="36" fillId="26" borderId="10" xfId="0" applyFont="1" applyFill="1" applyBorder="1" applyAlignment="1">
      <alignment horizontal="center" vertical="center"/>
    </xf>
    <xf numFmtId="0" fontId="24" fillId="0" borderId="0" xfId="48" applyFont="1"/>
    <xf numFmtId="0" fontId="24" fillId="0" borderId="10" xfId="52" applyFont="1" applyBorder="1" applyAlignment="1">
      <alignment horizontal="center" vertical="center" wrapText="1"/>
    </xf>
    <xf numFmtId="0" fontId="24" fillId="0" borderId="10" xfId="48" applyFont="1" applyBorder="1" applyAlignment="1">
      <alignment horizontal="center" vertical="center"/>
    </xf>
    <xf numFmtId="0" fontId="24" fillId="0" borderId="10" xfId="48" applyFont="1" applyBorder="1"/>
    <xf numFmtId="0" fontId="24" fillId="26" borderId="10" xfId="48" applyFont="1" applyFill="1" applyBorder="1"/>
    <xf numFmtId="0" fontId="24" fillId="26" borderId="10" xfId="48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26" borderId="10" xfId="0" applyFont="1" applyFill="1" applyBorder="1" applyAlignment="1">
      <alignment horizontal="center"/>
    </xf>
    <xf numFmtId="4" fontId="24" fillId="26" borderId="10" xfId="48" applyNumberFormat="1" applyFont="1" applyFill="1" applyBorder="1" applyAlignment="1">
      <alignment horizontal="center" vertical="center"/>
    </xf>
    <xf numFmtId="0" fontId="24" fillId="0" borderId="10" xfId="48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" fontId="24" fillId="0" borderId="10" xfId="48" applyNumberFormat="1" applyFont="1" applyBorder="1" applyAlignment="1">
      <alignment horizontal="center" vertical="center"/>
    </xf>
    <xf numFmtId="0" fontId="37" fillId="0" borderId="10" xfId="48" applyFont="1" applyBorder="1" applyAlignment="1">
      <alignment horizontal="center" vertical="center"/>
    </xf>
    <xf numFmtId="0" fontId="37" fillId="0" borderId="10" xfId="48" applyFont="1" applyBorder="1"/>
    <xf numFmtId="0" fontId="37" fillId="0" borderId="10" xfId="48" applyFont="1" applyBorder="1" applyAlignment="1">
      <alignment horizontal="center"/>
    </xf>
    <xf numFmtId="0" fontId="37" fillId="0" borderId="0" xfId="48" applyFont="1"/>
    <xf numFmtId="0" fontId="24" fillId="25" borderId="0" xfId="48" applyFont="1" applyFill="1"/>
    <xf numFmtId="0" fontId="24" fillId="0" borderId="10" xfId="48" applyFont="1" applyBorder="1" applyAlignment="1">
      <alignment vertical="center"/>
    </xf>
    <xf numFmtId="0" fontId="24" fillId="0" borderId="0" xfId="48" applyFont="1" applyAlignment="1">
      <alignment vertical="center"/>
    </xf>
    <xf numFmtId="3" fontId="36" fillId="26" borderId="10" xfId="0" applyNumberFormat="1" applyFont="1" applyFill="1" applyBorder="1"/>
    <xf numFmtId="3" fontId="36" fillId="0" borderId="10" xfId="0" applyNumberFormat="1" applyFont="1" applyFill="1" applyBorder="1"/>
    <xf numFmtId="0" fontId="24" fillId="0" borderId="11" xfId="52" applyFont="1" applyBorder="1" applyAlignment="1">
      <alignment horizontal="center" vertical="center" wrapText="1"/>
    </xf>
    <xf numFmtId="4" fontId="24" fillId="26" borderId="10" xfId="48" applyNumberFormat="1" applyFont="1" applyFill="1" applyBorder="1"/>
    <xf numFmtId="4" fontId="24" fillId="0" borderId="10" xfId="48" applyNumberFormat="1" applyFont="1" applyBorder="1"/>
    <xf numFmtId="3" fontId="37" fillId="0" borderId="10" xfId="48" applyNumberFormat="1" applyFont="1" applyBorder="1"/>
    <xf numFmtId="0" fontId="24" fillId="0" borderId="0" xfId="48" applyFont="1" applyFill="1" applyBorder="1" applyAlignment="1">
      <alignment vertical="center" wrapText="1"/>
    </xf>
    <xf numFmtId="0" fontId="24" fillId="0" borderId="21" xfId="48" applyFont="1" applyBorder="1" applyAlignment="1">
      <alignment horizontal="center" vertical="center" wrapText="1"/>
    </xf>
    <xf numFmtId="0" fontId="24" fillId="0" borderId="20" xfId="48" applyFont="1" applyBorder="1" applyAlignment="1">
      <alignment horizontal="center" vertical="center" wrapText="1"/>
    </xf>
    <xf numFmtId="0" fontId="24" fillId="0" borderId="10" xfId="48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48" applyFont="1" applyFill="1" applyBorder="1" applyAlignment="1">
      <alignment horizontal="center" vertical="center" wrapText="1"/>
    </xf>
    <xf numFmtId="0" fontId="24" fillId="0" borderId="10" xfId="48" applyFont="1" applyFill="1" applyBorder="1" applyAlignment="1">
      <alignment horizontal="center"/>
    </xf>
    <xf numFmtId="0" fontId="24" fillId="0" borderId="10" xfId="48" applyFont="1" applyFill="1" applyBorder="1" applyAlignment="1">
      <alignment wrapText="1"/>
    </xf>
    <xf numFmtId="0" fontId="24" fillId="26" borderId="10" xfId="53" applyFont="1" applyFill="1" applyBorder="1" applyAlignment="1">
      <alignment horizontal="left"/>
    </xf>
    <xf numFmtId="0" fontId="37" fillId="26" borderId="10" xfId="53" applyFont="1" applyFill="1" applyBorder="1" applyAlignment="1">
      <alignment horizontal="center"/>
    </xf>
    <xf numFmtId="0" fontId="24" fillId="26" borderId="10" xfId="53" applyFont="1" applyFill="1" applyBorder="1" applyAlignment="1">
      <alignment horizontal="center"/>
    </xf>
    <xf numFmtId="1" fontId="36" fillId="26" borderId="10" xfId="0" applyNumberFormat="1" applyFont="1" applyFill="1" applyBorder="1" applyAlignment="1">
      <alignment horizontal="center" wrapText="1"/>
    </xf>
    <xf numFmtId="166" fontId="24" fillId="0" borderId="10" xfId="48" applyNumberFormat="1" applyFont="1" applyFill="1" applyBorder="1" applyAlignment="1">
      <alignment horizontal="center"/>
    </xf>
    <xf numFmtId="166" fontId="24" fillId="0" borderId="12" xfId="48" applyNumberFormat="1" applyFont="1" applyFill="1" applyBorder="1" applyAlignment="1">
      <alignment horizontal="center"/>
    </xf>
    <xf numFmtId="4" fontId="24" fillId="0" borderId="10" xfId="48" applyNumberFormat="1" applyFont="1" applyFill="1" applyBorder="1" applyAlignment="1">
      <alignment horizontal="center"/>
    </xf>
    <xf numFmtId="4" fontId="24" fillId="0" borderId="0" xfId="48" applyNumberFormat="1" applyFont="1" applyFill="1" applyAlignment="1">
      <alignment horizontal="center"/>
    </xf>
    <xf numFmtId="4" fontId="36" fillId="26" borderId="10" xfId="0" applyNumberFormat="1" applyFont="1" applyFill="1" applyBorder="1" applyAlignment="1">
      <alignment horizontal="center" vertical="center"/>
    </xf>
    <xf numFmtId="4" fontId="24" fillId="26" borderId="10" xfId="48" applyNumberFormat="1" applyFont="1" applyFill="1" applyBorder="1" applyAlignment="1">
      <alignment horizontal="center"/>
    </xf>
    <xf numFmtId="4" fontId="24" fillId="0" borderId="0" xfId="48" applyNumberFormat="1" applyFont="1" applyFill="1" applyBorder="1" applyAlignment="1"/>
    <xf numFmtId="4" fontId="24" fillId="0" borderId="0" xfId="48" applyNumberFormat="1" applyFont="1" applyFill="1" applyBorder="1"/>
    <xf numFmtId="4" fontId="39" fillId="0" borderId="0" xfId="48" applyNumberFormat="1" applyFont="1" applyFill="1" applyBorder="1"/>
    <xf numFmtId="0" fontId="24" fillId="0" borderId="21" xfId="53" applyFont="1" applyFill="1" applyBorder="1" applyAlignment="1">
      <alignment horizontal="left"/>
    </xf>
    <xf numFmtId="0" fontId="37" fillId="0" borderId="21" xfId="53" applyFont="1" applyFill="1" applyBorder="1" applyAlignment="1">
      <alignment horizontal="center"/>
    </xf>
    <xf numFmtId="167" fontId="37" fillId="0" borderId="21" xfId="48" applyNumberFormat="1" applyFont="1" applyFill="1" applyBorder="1"/>
    <xf numFmtId="1" fontId="36" fillId="24" borderId="10" xfId="0" applyNumberFormat="1" applyFont="1" applyFill="1" applyBorder="1" applyAlignment="1">
      <alignment horizontal="center" vertical="center"/>
    </xf>
    <xf numFmtId="166" fontId="24" fillId="0" borderId="10" xfId="48" applyNumberFormat="1" applyFont="1" applyFill="1" applyBorder="1" applyAlignment="1">
      <alignment horizontal="center" vertical="center"/>
    </xf>
    <xf numFmtId="166" fontId="24" fillId="0" borderId="12" xfId="48" applyNumberFormat="1" applyFont="1" applyFill="1" applyBorder="1" applyAlignment="1">
      <alignment horizontal="center" vertical="center"/>
    </xf>
    <xf numFmtId="4" fontId="24" fillId="0" borderId="10" xfId="48" applyNumberFormat="1" applyFont="1" applyFill="1" applyBorder="1" applyAlignment="1">
      <alignment horizontal="center" vertical="center"/>
    </xf>
    <xf numFmtId="4" fontId="24" fillId="0" borderId="12" xfId="48" applyNumberFormat="1" applyFont="1" applyFill="1" applyBorder="1" applyAlignment="1">
      <alignment horizontal="center" vertical="center"/>
    </xf>
    <xf numFmtId="0" fontId="24" fillId="0" borderId="10" xfId="48" applyFont="1" applyFill="1" applyBorder="1" applyAlignment="1" applyProtection="1">
      <alignment horizontal="left"/>
      <protection hidden="1"/>
    </xf>
    <xf numFmtId="0" fontId="37" fillId="0" borderId="10" xfId="48" applyFont="1" applyFill="1" applyBorder="1" applyAlignment="1" applyProtection="1">
      <alignment horizontal="center"/>
      <protection hidden="1"/>
    </xf>
    <xf numFmtId="0" fontId="24" fillId="0" borderId="10" xfId="48" applyFont="1" applyFill="1" applyBorder="1" applyAlignment="1" applyProtection="1">
      <alignment horizontal="center"/>
      <protection hidden="1"/>
    </xf>
    <xf numFmtId="1" fontId="36" fillId="24" borderId="10" xfId="0" applyNumberFormat="1" applyFont="1" applyFill="1" applyBorder="1" applyAlignment="1">
      <alignment horizontal="center"/>
    </xf>
    <xf numFmtId="4" fontId="24" fillId="0" borderId="10" xfId="48" applyNumberFormat="1" applyFont="1" applyBorder="1" applyAlignment="1">
      <alignment horizontal="center"/>
    </xf>
    <xf numFmtId="4" fontId="24" fillId="0" borderId="12" xfId="48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24" fillId="0" borderId="10" xfId="53" applyFont="1" applyFill="1" applyBorder="1" applyAlignment="1">
      <alignment horizontal="left"/>
    </xf>
    <xf numFmtId="1" fontId="37" fillId="0" borderId="10" xfId="53" applyNumberFormat="1" applyFont="1" applyFill="1" applyBorder="1" applyAlignment="1">
      <alignment horizontal="center"/>
    </xf>
    <xf numFmtId="2" fontId="37" fillId="0" borderId="10" xfId="53" applyNumberFormat="1" applyFont="1" applyFill="1" applyBorder="1" applyAlignment="1">
      <alignment horizontal="center"/>
    </xf>
    <xf numFmtId="4" fontId="24" fillId="0" borderId="12" xfId="48" applyNumberFormat="1" applyFont="1" applyFill="1" applyBorder="1" applyAlignment="1">
      <alignment horizontal="center"/>
    </xf>
    <xf numFmtId="2" fontId="24" fillId="0" borderId="0" xfId="48" applyNumberFormat="1" applyFont="1" applyFill="1" applyBorder="1" applyAlignment="1">
      <alignment wrapText="1"/>
    </xf>
    <xf numFmtId="2" fontId="24" fillId="0" borderId="0" xfId="48" applyNumberFormat="1" applyFont="1" applyFill="1" applyBorder="1" applyAlignment="1">
      <alignment horizontal="center" wrapText="1"/>
    </xf>
    <xf numFmtId="167" fontId="24" fillId="0" borderId="0" xfId="48" applyNumberFormat="1" applyFont="1" applyFill="1" applyBorder="1"/>
    <xf numFmtId="0" fontId="24" fillId="0" borderId="0" xfId="48" applyFont="1" applyFill="1" applyBorder="1"/>
    <xf numFmtId="1" fontId="24" fillId="24" borderId="10" xfId="0" applyNumberFormat="1" applyFont="1" applyFill="1" applyBorder="1" applyAlignment="1">
      <alignment horizontal="center" vertical="center" wrapText="1"/>
    </xf>
    <xf numFmtId="166" fontId="24" fillId="0" borderId="22" xfId="48" applyNumberFormat="1" applyFont="1" applyFill="1" applyBorder="1" applyAlignment="1">
      <alignment horizontal="center" vertical="center"/>
    </xf>
    <xf numFmtId="166" fontId="24" fillId="0" borderId="18" xfId="48" applyNumberFormat="1" applyFont="1" applyFill="1" applyBorder="1" applyAlignment="1">
      <alignment horizontal="center" vertical="center"/>
    </xf>
    <xf numFmtId="167" fontId="24" fillId="0" borderId="0" xfId="48" applyNumberFormat="1" applyFont="1" applyFill="1" applyBorder="1" applyAlignment="1">
      <alignment horizontal="center" wrapText="1"/>
    </xf>
    <xf numFmtId="1" fontId="24" fillId="24" borderId="10" xfId="0" applyNumberFormat="1" applyFont="1" applyFill="1" applyBorder="1" applyAlignment="1">
      <alignment horizontal="center"/>
    </xf>
    <xf numFmtId="1" fontId="24" fillId="0" borderId="10" xfId="53" applyNumberFormat="1" applyFont="1" applyFill="1" applyBorder="1" applyAlignment="1">
      <alignment horizontal="center"/>
    </xf>
    <xf numFmtId="0" fontId="24" fillId="0" borderId="0" xfId="48" applyFont="1" applyBorder="1"/>
    <xf numFmtId="167" fontId="24" fillId="0" borderId="0" xfId="48" applyNumberFormat="1" applyFont="1" applyBorder="1"/>
    <xf numFmtId="2" fontId="37" fillId="0" borderId="0" xfId="53" applyNumberFormat="1" applyFont="1" applyFill="1" applyBorder="1" applyAlignment="1">
      <alignment horizontal="center"/>
    </xf>
    <xf numFmtId="1" fontId="36" fillId="24" borderId="10" xfId="0" applyNumberFormat="1" applyFont="1" applyFill="1" applyBorder="1" applyAlignment="1">
      <alignment horizontal="center" wrapText="1"/>
    </xf>
    <xf numFmtId="0" fontId="37" fillId="0" borderId="10" xfId="53" applyFont="1" applyFill="1" applyBorder="1" applyAlignment="1">
      <alignment horizontal="center"/>
    </xf>
    <xf numFmtId="1" fontId="36" fillId="24" borderId="10" xfId="0" applyNumberFormat="1" applyFont="1" applyFill="1" applyBorder="1" applyAlignment="1">
      <alignment horizontal="center" vertical="center" wrapText="1"/>
    </xf>
    <xf numFmtId="0" fontId="24" fillId="0" borderId="0" xfId="48" applyFont="1" applyFill="1" applyAlignment="1" applyProtection="1">
      <alignment horizontal="center"/>
      <protection hidden="1"/>
    </xf>
    <xf numFmtId="1" fontId="24" fillId="24" borderId="10" xfId="0" applyNumberFormat="1" applyFont="1" applyFill="1" applyBorder="1" applyAlignment="1">
      <alignment horizontal="center" wrapText="1"/>
    </xf>
    <xf numFmtId="2" fontId="24" fillId="0" borderId="10" xfId="48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1" fontId="37" fillId="0" borderId="10" xfId="53" applyNumberFormat="1" applyFont="1" applyFill="1" applyBorder="1" applyAlignment="1">
      <alignment horizontal="center" wrapText="1"/>
    </xf>
    <xf numFmtId="1" fontId="24" fillId="0" borderId="0" xfId="53" applyNumberFormat="1" applyFont="1" applyFill="1" applyBorder="1" applyAlignment="1">
      <alignment horizontal="center"/>
    </xf>
    <xf numFmtId="0" fontId="37" fillId="0" borderId="0" xfId="53" applyFont="1" applyFill="1" applyBorder="1" applyAlignment="1">
      <alignment horizontal="center"/>
    </xf>
    <xf numFmtId="0" fontId="37" fillId="0" borderId="10" xfId="53" applyNumberFormat="1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vertical="center"/>
    </xf>
    <xf numFmtId="1" fontId="37" fillId="0" borderId="10" xfId="48" applyNumberFormat="1" applyFont="1" applyBorder="1" applyAlignment="1">
      <alignment horizontal="center" vertical="center"/>
    </xf>
    <xf numFmtId="167" fontId="37" fillId="0" borderId="10" xfId="48" applyNumberFormat="1" applyFont="1" applyFill="1" applyBorder="1"/>
    <xf numFmtId="0" fontId="36" fillId="0" borderId="0" xfId="0" applyFont="1" applyAlignment="1">
      <alignment horizontal="center" vertical="center"/>
    </xf>
    <xf numFmtId="0" fontId="24" fillId="0" borderId="10" xfId="56" applyFont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24" fillId="0" borderId="11" xfId="58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left"/>
      <protection hidden="1"/>
    </xf>
    <xf numFmtId="0" fontId="24" fillId="0" borderId="10" xfId="0" applyFont="1" applyFill="1" applyBorder="1" applyAlignment="1" applyProtection="1">
      <alignment horizontal="center"/>
      <protection hidden="1"/>
    </xf>
    <xf numFmtId="0" fontId="24" fillId="0" borderId="10" xfId="1" applyFont="1" applyFill="1" applyBorder="1" applyAlignment="1" applyProtection="1">
      <alignment horizontal="center" wrapText="1"/>
      <protection hidden="1"/>
    </xf>
    <xf numFmtId="0" fontId="24" fillId="0" borderId="10" xfId="1" applyFont="1" applyFill="1" applyBorder="1" applyAlignment="1" applyProtection="1">
      <alignment horizontal="left" wrapText="1"/>
      <protection hidden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3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left" vertical="center"/>
    </xf>
    <xf numFmtId="0" fontId="3" fillId="24" borderId="10" xfId="1" applyFont="1" applyFill="1" applyBorder="1" applyAlignment="1" applyProtection="1">
      <alignment horizontal="center" vertical="center" wrapText="1"/>
      <protection hidden="1"/>
    </xf>
    <xf numFmtId="0" fontId="37" fillId="25" borderId="10" xfId="48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48" applyFont="1" applyBorder="1" applyAlignment="1">
      <alignment horizontal="center" wrapText="1"/>
    </xf>
    <xf numFmtId="0" fontId="36" fillId="0" borderId="10" xfId="48" applyFont="1" applyBorder="1" applyAlignment="1">
      <alignment horizontal="center" vertical="center"/>
    </xf>
    <xf numFmtId="0" fontId="36" fillId="0" borderId="10" xfId="48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48" applyFont="1" applyFill="1" applyBorder="1" applyAlignment="1">
      <alignment horizontal="center" wrapText="1"/>
    </xf>
    <xf numFmtId="0" fontId="1" fillId="0" borderId="0" xfId="48" applyFont="1" applyAlignment="1">
      <alignment horizontal="center"/>
    </xf>
    <xf numFmtId="0" fontId="24" fillId="0" borderId="10" xfId="1" applyFont="1" applyFill="1" applyBorder="1" applyAlignment="1" applyProtection="1">
      <alignment horizontal="center" vertical="center" wrapText="1"/>
      <protection hidden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2" xfId="48" applyFont="1" applyBorder="1" applyAlignment="1">
      <alignment horizontal="center"/>
    </xf>
    <xf numFmtId="0" fontId="36" fillId="0" borderId="13" xfId="48" applyFont="1" applyBorder="1" applyAlignment="1">
      <alignment horizontal="center"/>
    </xf>
    <xf numFmtId="0" fontId="24" fillId="0" borderId="11" xfId="1" applyFont="1" applyFill="1" applyBorder="1" applyAlignment="1" applyProtection="1">
      <alignment horizontal="center" vertical="center" wrapText="1"/>
      <protection hidden="1"/>
    </xf>
    <xf numFmtId="0" fontId="24" fillId="0" borderId="22" xfId="1" applyFont="1" applyFill="1" applyBorder="1" applyAlignment="1" applyProtection="1">
      <alignment horizontal="center" vertical="center" wrapText="1"/>
      <protection hidden="1"/>
    </xf>
    <xf numFmtId="0" fontId="24" fillId="0" borderId="21" xfId="1" applyFont="1" applyFill="1" applyBorder="1" applyAlignment="1" applyProtection="1">
      <alignment horizontal="center" vertical="center" wrapText="1"/>
      <protection hidden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  <protection hidden="1"/>
    </xf>
    <xf numFmtId="0" fontId="3" fillId="0" borderId="22" xfId="1" applyFont="1" applyFill="1" applyBorder="1" applyAlignment="1" applyProtection="1">
      <alignment horizontal="center" vertical="center" wrapText="1"/>
      <protection hidden="1"/>
    </xf>
    <xf numFmtId="0" fontId="3" fillId="0" borderId="21" xfId="1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>
      <alignment horizontal="center" vertical="center" wrapText="1"/>
    </xf>
    <xf numFmtId="0" fontId="37" fillId="25" borderId="12" xfId="48" applyFont="1" applyFill="1" applyBorder="1" applyAlignment="1">
      <alignment horizontal="left"/>
    </xf>
    <xf numFmtId="0" fontId="37" fillId="25" borderId="23" xfId="48" applyFont="1" applyFill="1" applyBorder="1" applyAlignment="1">
      <alignment horizontal="left"/>
    </xf>
    <xf numFmtId="0" fontId="37" fillId="25" borderId="13" xfId="48" applyFont="1" applyFill="1" applyBorder="1" applyAlignment="1">
      <alignment horizontal="left"/>
    </xf>
    <xf numFmtId="0" fontId="23" fillId="0" borderId="0" xfId="48" applyBorder="1" applyAlignment="1">
      <alignment horizontal="center"/>
    </xf>
    <xf numFmtId="0" fontId="24" fillId="0" borderId="10" xfId="48" applyFont="1" applyBorder="1" applyAlignment="1">
      <alignment horizontal="center" vertical="center" wrapText="1"/>
    </xf>
    <xf numFmtId="0" fontId="24" fillId="0" borderId="15" xfId="48" applyFont="1" applyBorder="1" applyAlignment="1">
      <alignment horizontal="center" vertical="center" wrapText="1"/>
    </xf>
    <xf numFmtId="0" fontId="24" fillId="0" borderId="16" xfId="48" applyFont="1" applyBorder="1" applyAlignment="1">
      <alignment horizontal="center" vertical="center" wrapText="1"/>
    </xf>
    <xf numFmtId="0" fontId="24" fillId="0" borderId="17" xfId="48" applyFont="1" applyBorder="1" applyAlignment="1">
      <alignment horizontal="center" vertical="center" wrapText="1"/>
    </xf>
    <xf numFmtId="0" fontId="24" fillId="0" borderId="18" xfId="48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center" wrapText="1"/>
    </xf>
    <xf numFmtId="0" fontId="24" fillId="0" borderId="19" xfId="48" applyFont="1" applyBorder="1" applyAlignment="1">
      <alignment horizontal="center" vertical="center" wrapText="1"/>
    </xf>
    <xf numFmtId="0" fontId="24" fillId="0" borderId="20" xfId="48" applyFont="1" applyBorder="1" applyAlignment="1">
      <alignment horizontal="center" vertical="center" wrapText="1"/>
    </xf>
    <xf numFmtId="0" fontId="24" fillId="0" borderId="14" xfId="48" applyFont="1" applyBorder="1" applyAlignment="1">
      <alignment horizontal="center" vertical="center" wrapText="1"/>
    </xf>
    <xf numFmtId="0" fontId="24" fillId="0" borderId="10" xfId="48" applyFont="1" applyFill="1" applyBorder="1" applyAlignment="1">
      <alignment horizontal="center" vertical="center" wrapText="1"/>
    </xf>
    <xf numFmtId="0" fontId="24" fillId="0" borderId="11" xfId="48" applyFont="1" applyBorder="1" applyAlignment="1">
      <alignment horizontal="center" vertical="center" wrapText="1"/>
    </xf>
    <xf numFmtId="0" fontId="24" fillId="0" borderId="21" xfId="48" applyFont="1" applyBorder="1" applyAlignment="1">
      <alignment horizontal="center" vertical="center" wrapText="1"/>
    </xf>
    <xf numFmtId="0" fontId="26" fillId="0" borderId="0" xfId="48" applyFont="1" applyAlignment="1">
      <alignment horizontal="center"/>
    </xf>
    <xf numFmtId="0" fontId="24" fillId="0" borderId="12" xfId="48" applyFont="1" applyBorder="1" applyAlignment="1">
      <alignment horizontal="center" vertical="center" wrapText="1"/>
    </xf>
    <xf numFmtId="0" fontId="23" fillId="0" borderId="14" xfId="48" applyBorder="1" applyAlignment="1">
      <alignment horizontal="center"/>
    </xf>
    <xf numFmtId="0" fontId="24" fillId="0" borderId="22" xfId="48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/>
    </xf>
    <xf numFmtId="0" fontId="24" fillId="0" borderId="10" xfId="1" applyFont="1" applyFill="1" applyBorder="1" applyAlignment="1" applyProtection="1">
      <alignment vertical="center" wrapText="1"/>
      <protection hidden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24" fillId="26" borderId="10" xfId="1" applyFont="1" applyFill="1" applyBorder="1" applyAlignment="1" applyProtection="1">
      <alignment horizontal="left" vertical="center" wrapText="1"/>
      <protection hidden="1"/>
    </xf>
    <xf numFmtId="0" fontId="24" fillId="26" borderId="10" xfId="1" applyFont="1" applyFill="1" applyBorder="1" applyAlignment="1" applyProtection="1">
      <alignment horizontal="center" vertical="center" wrapText="1"/>
      <protection hidden="1"/>
    </xf>
    <xf numFmtId="4" fontId="24" fillId="26" borderId="10" xfId="0" applyNumberFormat="1" applyFont="1" applyFill="1" applyBorder="1" applyAlignment="1">
      <alignment vertical="top"/>
    </xf>
    <xf numFmtId="4" fontId="24" fillId="26" borderId="10" xfId="0" applyNumberFormat="1" applyFont="1" applyFill="1" applyBorder="1" applyAlignment="1">
      <alignment horizontal="right" vertical="top"/>
    </xf>
    <xf numFmtId="4" fontId="24" fillId="26" borderId="10" xfId="54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40" fillId="0" borderId="11" xfId="52" applyNumberFormat="1" applyFont="1" applyBorder="1" applyAlignment="1">
      <alignment horizontal="center" vertical="center" wrapText="1"/>
    </xf>
    <xf numFmtId="4" fontId="40" fillId="0" borderId="10" xfId="52" applyNumberFormat="1" applyFont="1" applyBorder="1" applyAlignment="1">
      <alignment horizontal="center" vertical="center" wrapText="1"/>
    </xf>
    <xf numFmtId="0" fontId="24" fillId="0" borderId="11" xfId="1" applyFont="1" applyFill="1" applyBorder="1" applyAlignment="1" applyProtection="1">
      <alignment horizontal="left" wrapText="1"/>
      <protection hidden="1"/>
    </xf>
    <xf numFmtId="4" fontId="41" fillId="0" borderId="11" xfId="0" applyNumberFormat="1" applyFont="1" applyFill="1" applyBorder="1" applyAlignment="1">
      <alignment horizontal="center" vertical="center" wrapText="1"/>
    </xf>
    <xf numFmtId="0" fontId="24" fillId="26" borderId="10" xfId="1" applyFont="1" applyFill="1" applyBorder="1" applyAlignment="1" applyProtection="1">
      <alignment horizontal="left" wrapText="1"/>
      <protection hidden="1"/>
    </xf>
    <xf numFmtId="0" fontId="24" fillId="26" borderId="10" xfId="1" applyFont="1" applyFill="1" applyBorder="1" applyAlignment="1" applyProtection="1">
      <alignment horizontal="center" wrapText="1"/>
      <protection hidden="1"/>
    </xf>
    <xf numFmtId="4" fontId="40" fillId="26" borderId="11" xfId="52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0" fontId="5" fillId="0" borderId="10" xfId="52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7"/>
    <cellStyle name="Обычный 5 4" xfId="56"/>
    <cellStyle name="Обычный 5 4 2" xfId="58"/>
    <cellStyle name="Обычный_ЖУ" xfId="53"/>
    <cellStyle name="Обычный_Лист1" xfId="55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9"/>
    <cellStyle name="Хороший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1">
          <cell r="H171">
            <v>79</v>
          </cell>
        </row>
        <row r="172">
          <cell r="H172">
            <v>99</v>
          </cell>
        </row>
        <row r="173">
          <cell r="H173">
            <v>46</v>
          </cell>
        </row>
        <row r="174">
          <cell r="H174">
            <v>48</v>
          </cell>
        </row>
        <row r="175">
          <cell r="H175">
            <v>149</v>
          </cell>
        </row>
        <row r="176">
          <cell r="H176">
            <v>35</v>
          </cell>
        </row>
        <row r="177">
          <cell r="H177">
            <v>35</v>
          </cell>
        </row>
        <row r="178">
          <cell r="H178">
            <v>34</v>
          </cell>
        </row>
        <row r="179">
          <cell r="H179">
            <v>70</v>
          </cell>
        </row>
        <row r="180">
          <cell r="H180">
            <v>70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279">
          <cell r="H279">
            <v>48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Y9">
            <v>361.49999999999909</v>
          </cell>
          <cell r="Z9">
            <v>236.09999999999945</v>
          </cell>
        </row>
      </sheetData>
      <sheetData sheetId="25"/>
      <sheetData sheetId="26"/>
      <sheetData sheetId="27"/>
      <sheetData sheetId="28">
        <row r="9">
          <cell r="Y9">
            <v>371.69999999999891</v>
          </cell>
          <cell r="Z9">
            <v>223.89999999999964</v>
          </cell>
        </row>
      </sheetData>
      <sheetData sheetId="29"/>
      <sheetData sheetId="30"/>
      <sheetData sheetId="31"/>
      <sheetData sheetId="32">
        <row r="9">
          <cell r="Y9">
            <v>386.599999999999</v>
          </cell>
          <cell r="Z9">
            <v>295.69999999999936</v>
          </cell>
        </row>
      </sheetData>
      <sheetData sheetId="33"/>
      <sheetData sheetId="34"/>
      <sheetData sheetId="35"/>
      <sheetData sheetId="36">
        <row r="9">
          <cell r="Y9">
            <v>387.49999999999909</v>
          </cell>
          <cell r="Z9">
            <v>359.89999999999964</v>
          </cell>
        </row>
      </sheetData>
      <sheetData sheetId="37"/>
      <sheetData sheetId="38"/>
      <sheetData sheetId="39"/>
      <sheetData sheetId="40">
        <row r="9">
          <cell r="Y9">
            <v>406.29999999999882</v>
          </cell>
          <cell r="Z9">
            <v>436.49999999999955</v>
          </cell>
        </row>
      </sheetData>
      <sheetData sheetId="41"/>
      <sheetData sheetId="42"/>
      <sheetData sheetId="43"/>
      <sheetData sheetId="44">
        <row r="9">
          <cell r="Y9">
            <v>402.19999999999891</v>
          </cell>
          <cell r="Z9">
            <v>403.09999999999945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27">
          <cell r="G227">
            <v>8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7">
          <cell r="G247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Normal="100" zoomScaleSheetLayoutView="100" workbookViewId="0">
      <selection activeCell="G29" sqref="G29"/>
    </sheetView>
  </sheetViews>
  <sheetFormatPr defaultRowHeight="15"/>
  <cols>
    <col min="1" max="1" width="4.42578125" customWidth="1"/>
    <col min="2" max="2" width="26" customWidth="1"/>
    <col min="3" max="3" width="17.85546875" customWidth="1"/>
    <col min="4" max="4" width="13.7109375" customWidth="1"/>
    <col min="5" max="5" width="14.85546875" customWidth="1"/>
    <col min="6" max="6" width="19" customWidth="1"/>
    <col min="7" max="7" width="14.5703125" customWidth="1"/>
    <col min="8" max="8" width="14.140625" customWidth="1"/>
    <col min="9" max="9" width="15.42578125" customWidth="1"/>
    <col min="10" max="10" width="15.140625" customWidth="1"/>
    <col min="11" max="11" width="16.42578125" customWidth="1"/>
    <col min="12" max="12" width="16.85546875" customWidth="1"/>
    <col min="13" max="13" width="15.140625" customWidth="1"/>
    <col min="14" max="14" width="15.7109375" customWidth="1"/>
  </cols>
  <sheetData>
    <row r="1" spans="1:14" ht="52.5" customHeight="1">
      <c r="A1" s="234" t="s">
        <v>143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4" ht="52.5" customHeight="1">
      <c r="A2" s="237" t="s">
        <v>0</v>
      </c>
      <c r="B2" s="237" t="s">
        <v>114</v>
      </c>
      <c r="C2" s="239" t="s">
        <v>131</v>
      </c>
      <c r="D2" s="240" t="s">
        <v>14</v>
      </c>
      <c r="E2" s="241"/>
      <c r="F2" s="237" t="s">
        <v>132</v>
      </c>
      <c r="G2" s="240" t="s">
        <v>14</v>
      </c>
      <c r="H2" s="241"/>
      <c r="I2" s="239" t="s">
        <v>137</v>
      </c>
      <c r="J2" s="242" t="s">
        <v>14</v>
      </c>
      <c r="K2" s="242"/>
      <c r="L2" s="243" t="s">
        <v>115</v>
      </c>
      <c r="M2" s="232" t="s">
        <v>14</v>
      </c>
      <c r="N2" s="233"/>
    </row>
    <row r="3" spans="1:14" ht="60">
      <c r="A3" s="238"/>
      <c r="B3" s="238"/>
      <c r="C3" s="238"/>
      <c r="D3" s="44" t="s">
        <v>133</v>
      </c>
      <c r="E3" s="44" t="s">
        <v>134</v>
      </c>
      <c r="F3" s="238"/>
      <c r="G3" s="44" t="s">
        <v>135</v>
      </c>
      <c r="H3" s="44" t="s">
        <v>136</v>
      </c>
      <c r="I3" s="239"/>
      <c r="J3" s="60" t="s">
        <v>138</v>
      </c>
      <c r="K3" s="60" t="s">
        <v>139</v>
      </c>
      <c r="L3" s="243"/>
      <c r="M3" s="75" t="s">
        <v>138</v>
      </c>
      <c r="N3" s="75" t="s">
        <v>139</v>
      </c>
    </row>
    <row r="4" spans="1:14">
      <c r="A4" s="58">
        <v>1</v>
      </c>
      <c r="B4" s="325" t="s">
        <v>78</v>
      </c>
      <c r="C4" s="58">
        <f>SUM(D4:E4)</f>
        <v>214</v>
      </c>
      <c r="D4" s="58">
        <f>'ООО УК "ПОКиТС"'!A172</f>
        <v>166</v>
      </c>
      <c r="E4" s="58">
        <f>'ООО УК "ПОКиТС"'!A222</f>
        <v>48</v>
      </c>
      <c r="F4" s="58">
        <f>SUM(G4:H4)</f>
        <v>3325</v>
      </c>
      <c r="G4" s="58">
        <f>'ООО УК "ПОКиТС"'!F173</f>
        <v>2335</v>
      </c>
      <c r="H4" s="58">
        <f>'ООО УК "ПОКиТС"'!F223</f>
        <v>990</v>
      </c>
      <c r="I4" s="30">
        <f>SUM(J4:K4)</f>
        <v>60814.050000000017</v>
      </c>
      <c r="J4" s="30">
        <f>'ООО УК "ПОКиТС"'!AB173</f>
        <v>51619.208700000017</v>
      </c>
      <c r="K4" s="30">
        <f>'ООО УК "ПОКиТС"'!AB223</f>
        <v>9194.8412999999964</v>
      </c>
      <c r="L4" s="5">
        <f t="shared" ref="L4:N5" si="0">I4/F4</f>
        <v>18.289939849624066</v>
      </c>
      <c r="M4" s="5">
        <f>J4/G4</f>
        <v>22.106727494646687</v>
      </c>
      <c r="N4" s="5">
        <f t="shared" si="0"/>
        <v>9.2877184848484813</v>
      </c>
    </row>
    <row r="5" spans="1:14">
      <c r="A5" s="58">
        <f>A4+1</f>
        <v>2</v>
      </c>
      <c r="B5" s="326" t="s">
        <v>116</v>
      </c>
      <c r="C5" s="58">
        <f t="shared" ref="C5:C13" si="1">SUM(D5:E5)</f>
        <v>38</v>
      </c>
      <c r="D5" s="58">
        <f>'ООО УК "Нарьян-Марстрой"'!A43</f>
        <v>35</v>
      </c>
      <c r="E5" s="58">
        <f>'ООО УК "Нарьян-Марстрой"'!A48</f>
        <v>3</v>
      </c>
      <c r="F5" s="59">
        <f t="shared" ref="F5:F13" si="2">SUM(G5:H5)</f>
        <v>2263</v>
      </c>
      <c r="G5" s="53">
        <f>'ООО УК "Нарьян-Марстрой"'!F44</f>
        <v>1996</v>
      </c>
      <c r="H5" s="53">
        <f>'ООО УК "Нарьян-Марстрой"'!F49</f>
        <v>267</v>
      </c>
      <c r="I5" s="30">
        <f t="shared" ref="I5:I13" si="3">SUM(J5:K5)</f>
        <v>30852.273000000001</v>
      </c>
      <c r="J5" s="30">
        <f>'ООО УК "Нарьян-Марстрой"'!AB44</f>
        <v>29840.370000000003</v>
      </c>
      <c r="K5" s="30">
        <f>'ООО УК "Нарьян-Марстрой"'!AB49</f>
        <v>1011.903</v>
      </c>
      <c r="L5" s="5">
        <f t="shared" si="0"/>
        <v>13.633350861688026</v>
      </c>
      <c r="M5" s="5">
        <f t="shared" si="0"/>
        <v>14.950085170340683</v>
      </c>
      <c r="N5" s="5">
        <f t="shared" si="0"/>
        <v>3.7898988764044943</v>
      </c>
    </row>
    <row r="6" spans="1:14">
      <c r="A6" s="58">
        <f>A5+1</f>
        <v>3</v>
      </c>
      <c r="B6" s="327" t="s">
        <v>16</v>
      </c>
      <c r="C6" s="58">
        <f t="shared" si="1"/>
        <v>41</v>
      </c>
      <c r="D6" s="58">
        <f>'ООО "Базис"'!A15</f>
        <v>9</v>
      </c>
      <c r="E6" s="58">
        <f>'ООО "Базис"'!A49</f>
        <v>32</v>
      </c>
      <c r="F6" s="54">
        <f>SUM(G6:H6)</f>
        <v>1519</v>
      </c>
      <c r="G6" s="54">
        <f>'ООО "Базис"'!F16</f>
        <v>1053</v>
      </c>
      <c r="H6" s="54">
        <f>'ООО "Базис"'!F50</f>
        <v>466</v>
      </c>
      <c r="I6" s="30">
        <f t="shared" si="3"/>
        <v>25904.500000000004</v>
      </c>
      <c r="J6" s="30">
        <f>'ООО "Базис"'!AB16</f>
        <v>20234.140000000003</v>
      </c>
      <c r="K6" s="30">
        <f>'ООО "Базис"'!AB50</f>
        <v>5670.36</v>
      </c>
      <c r="L6" s="5">
        <f>I6/F6</f>
        <v>17.05365371955234</v>
      </c>
      <c r="M6" s="5">
        <f>J6/G6</f>
        <v>19.215707502374173</v>
      </c>
      <c r="N6" s="5">
        <f>K6/H6</f>
        <v>12.168154506437768</v>
      </c>
    </row>
    <row r="7" spans="1:14">
      <c r="A7" s="58">
        <f t="shared" ref="A7:A12" si="4">A6+1</f>
        <v>4</v>
      </c>
      <c r="B7" s="328" t="s">
        <v>61</v>
      </c>
      <c r="C7" s="58">
        <f t="shared" si="1"/>
        <v>5</v>
      </c>
      <c r="D7" s="58">
        <f>'ООО "Наш дом"'!A10</f>
        <v>5</v>
      </c>
      <c r="E7" s="59" t="s">
        <v>140</v>
      </c>
      <c r="F7" s="59">
        <f t="shared" si="2"/>
        <v>466</v>
      </c>
      <c r="G7" s="54">
        <f>'ООО "Наш дом"'!F11</f>
        <v>466</v>
      </c>
      <c r="H7" s="54" t="s">
        <v>140</v>
      </c>
      <c r="I7" s="30">
        <f t="shared" si="3"/>
        <v>16619.260000000002</v>
      </c>
      <c r="J7" s="30">
        <f>'ООО "Наш дом"'!AB11</f>
        <v>16619.260000000002</v>
      </c>
      <c r="K7" s="30" t="s">
        <v>140</v>
      </c>
      <c r="L7" s="5">
        <f t="shared" ref="L7:M11" si="5">I7/F7</f>
        <v>35.663648068669531</v>
      </c>
      <c r="M7" s="5">
        <f t="shared" si="5"/>
        <v>35.663648068669531</v>
      </c>
      <c r="N7" s="5" t="s">
        <v>140</v>
      </c>
    </row>
    <row r="8" spans="1:14">
      <c r="A8" s="58">
        <f t="shared" si="4"/>
        <v>5</v>
      </c>
      <c r="B8" s="327" t="s">
        <v>43</v>
      </c>
      <c r="C8" s="58">
        <f t="shared" si="1"/>
        <v>27</v>
      </c>
      <c r="D8" s="58">
        <f>'ООО "Ненецкая УК"'!A17</f>
        <v>11</v>
      </c>
      <c r="E8" s="58">
        <f>'ООО "Ненецкая УК"'!A35</f>
        <v>16</v>
      </c>
      <c r="F8" s="59">
        <f t="shared" si="2"/>
        <v>948</v>
      </c>
      <c r="G8" s="58">
        <f>'ООО "Ненецкая УК"'!F18</f>
        <v>769</v>
      </c>
      <c r="H8" s="58">
        <f>'ООО "Ненецкая УК"'!F36</f>
        <v>179</v>
      </c>
      <c r="I8" s="30">
        <f t="shared" si="3"/>
        <v>12780.999999999998</v>
      </c>
      <c r="J8" s="30">
        <f>'ООО "Ненецкая УК"'!AB18</f>
        <v>12238.329999999998</v>
      </c>
      <c r="K8" s="30">
        <f>'ООО "Ненецкая УК"'!AB36</f>
        <v>542.66999999999996</v>
      </c>
      <c r="L8" s="5">
        <f t="shared" si="5"/>
        <v>13.482067510548521</v>
      </c>
      <c r="M8" s="5">
        <f t="shared" si="5"/>
        <v>15.914603381014302</v>
      </c>
      <c r="N8" s="5">
        <f>K8/H8</f>
        <v>3.0316759776536308</v>
      </c>
    </row>
    <row r="9" spans="1:14">
      <c r="A9" s="58">
        <f t="shared" si="4"/>
        <v>6</v>
      </c>
      <c r="B9" s="328" t="s">
        <v>53</v>
      </c>
      <c r="C9" s="58">
        <f t="shared" si="1"/>
        <v>16</v>
      </c>
      <c r="D9" s="58">
        <f>'ООО "Коми-Сервис"'!A17</f>
        <v>11</v>
      </c>
      <c r="E9" s="58">
        <f>'ООО "Коми-Сервис"'!A24</f>
        <v>5</v>
      </c>
      <c r="F9" s="59">
        <f>SUM(G9:H9)</f>
        <v>934</v>
      </c>
      <c r="G9" s="58">
        <f>'ООО "Коми-Сервис"'!F18</f>
        <v>513</v>
      </c>
      <c r="H9" s="58">
        <f>'ООО "Коми-Сервис"'!F25</f>
        <v>421</v>
      </c>
      <c r="I9" s="30">
        <f t="shared" si="3"/>
        <v>7823.1899999999987</v>
      </c>
      <c r="J9" s="30">
        <f>'ООО "Коми-Сервис"'!AB18</f>
        <v>6480.329999999999</v>
      </c>
      <c r="K9" s="30">
        <f>'ООО "Коми-Сервис"'!AB25</f>
        <v>1342.86</v>
      </c>
      <c r="L9" s="5">
        <f t="shared" si="5"/>
        <v>8.3760064239828687</v>
      </c>
      <c r="M9" s="5">
        <f t="shared" si="5"/>
        <v>12.63222222222222</v>
      </c>
      <c r="N9" s="5">
        <f>K9/H9</f>
        <v>3.1896912114014251</v>
      </c>
    </row>
    <row r="10" spans="1:14">
      <c r="A10" s="58">
        <f t="shared" si="4"/>
        <v>7</v>
      </c>
      <c r="B10" s="55" t="s">
        <v>104</v>
      </c>
      <c r="C10" s="58">
        <f t="shared" si="1"/>
        <v>21</v>
      </c>
      <c r="D10" s="58">
        <f>'ООО "Аврора"'!A24</f>
        <v>18</v>
      </c>
      <c r="E10" s="58">
        <f>'ООО "Аврора"'!A29</f>
        <v>3</v>
      </c>
      <c r="F10" s="59">
        <f t="shared" si="2"/>
        <v>450</v>
      </c>
      <c r="G10" s="58">
        <f>'ООО "Аврора"'!F25</f>
        <v>418</v>
      </c>
      <c r="H10" s="58">
        <f>'ООО "Аврора"'!F30</f>
        <v>32</v>
      </c>
      <c r="I10" s="30">
        <f t="shared" si="3"/>
        <v>8184.8</v>
      </c>
      <c r="J10" s="30">
        <f>'ООО "Аврора"'!AB25</f>
        <v>8139.7</v>
      </c>
      <c r="K10" s="30">
        <f>'ООО "Аврора"'!AB30</f>
        <v>45.1</v>
      </c>
      <c r="L10" s="5">
        <f t="shared" si="5"/>
        <v>18.188444444444446</v>
      </c>
      <c r="M10" s="5">
        <f t="shared" si="5"/>
        <v>19.472966507177034</v>
      </c>
      <c r="N10" s="5">
        <f>K10/H10</f>
        <v>1.409375</v>
      </c>
    </row>
    <row r="11" spans="1:14">
      <c r="A11" s="58">
        <f t="shared" si="4"/>
        <v>8</v>
      </c>
      <c r="B11" s="55" t="s">
        <v>63</v>
      </c>
      <c r="C11" s="58">
        <f t="shared" si="1"/>
        <v>5</v>
      </c>
      <c r="D11" s="58">
        <f>'ООО УК "Уютный дом"'!A10</f>
        <v>5</v>
      </c>
      <c r="E11" s="59" t="s">
        <v>140</v>
      </c>
      <c r="F11" s="59">
        <f t="shared" si="2"/>
        <v>338</v>
      </c>
      <c r="G11" s="58">
        <f>'ООО УК "Уютный дом"'!F11</f>
        <v>338</v>
      </c>
      <c r="H11" s="59" t="s">
        <v>140</v>
      </c>
      <c r="I11" s="30">
        <f t="shared" si="3"/>
        <v>3977.66</v>
      </c>
      <c r="J11" s="30">
        <f>'ООО УК "Уютный дом"'!AB11</f>
        <v>3977.66</v>
      </c>
      <c r="K11" s="30" t="s">
        <v>140</v>
      </c>
      <c r="L11" s="5">
        <f t="shared" si="5"/>
        <v>11.768224852071006</v>
      </c>
      <c r="M11" s="5">
        <f t="shared" si="5"/>
        <v>11.768224852071006</v>
      </c>
      <c r="N11" s="5" t="s">
        <v>140</v>
      </c>
    </row>
    <row r="12" spans="1:14">
      <c r="A12" s="58">
        <f t="shared" si="4"/>
        <v>9</v>
      </c>
      <c r="B12" s="329" t="s">
        <v>117</v>
      </c>
      <c r="C12" s="58">
        <f t="shared" si="1"/>
        <v>1</v>
      </c>
      <c r="D12" s="58">
        <f>'ТСЖ "Дворянское гнездо"'!A8</f>
        <v>1</v>
      </c>
      <c r="E12" s="59" t="s">
        <v>140</v>
      </c>
      <c r="F12" s="59">
        <f t="shared" si="2"/>
        <v>75</v>
      </c>
      <c r="G12" s="58">
        <f>'ТСЖ "Дворянское гнездо"'!F9</f>
        <v>75</v>
      </c>
      <c r="H12" s="59" t="s">
        <v>140</v>
      </c>
      <c r="I12" s="30">
        <f t="shared" si="3"/>
        <v>805.29999999999836</v>
      </c>
      <c r="J12" s="30">
        <f>'ТСЖ "Дворянское гнездо"'!AB9</f>
        <v>805.29999999999836</v>
      </c>
      <c r="K12" s="30" t="s">
        <v>140</v>
      </c>
      <c r="L12" s="5">
        <f t="shared" ref="L12:L13" si="6">I12/F12</f>
        <v>10.737333333333311</v>
      </c>
      <c r="M12" s="5">
        <f>J12/G12</f>
        <v>10.737333333333311</v>
      </c>
      <c r="N12" s="5" t="s">
        <v>140</v>
      </c>
    </row>
    <row r="13" spans="1:14">
      <c r="A13" s="58">
        <v>10</v>
      </c>
      <c r="B13" s="55" t="s">
        <v>118</v>
      </c>
      <c r="C13" s="59">
        <f t="shared" si="1"/>
        <v>70</v>
      </c>
      <c r="D13" s="60">
        <f>'ООО "Содружество"'!A75</f>
        <v>70</v>
      </c>
      <c r="E13" s="60" t="s">
        <v>140</v>
      </c>
      <c r="F13" s="59">
        <f t="shared" si="2"/>
        <v>927</v>
      </c>
      <c r="G13" s="62">
        <f>'ООО "Содружество"'!F76</f>
        <v>927</v>
      </c>
      <c r="H13" s="62" t="s">
        <v>140</v>
      </c>
      <c r="I13" s="30">
        <f t="shared" si="3"/>
        <v>7984.4800000000005</v>
      </c>
      <c r="J13" s="63">
        <f>'ООО "Содружество"'!AB76</f>
        <v>7984.4800000000005</v>
      </c>
      <c r="K13" s="62" t="s">
        <v>140</v>
      </c>
      <c r="L13" s="65">
        <f t="shared" si="6"/>
        <v>8.6132470334412083</v>
      </c>
      <c r="M13" s="5">
        <f>J13/G13</f>
        <v>8.6132470334412083</v>
      </c>
      <c r="N13" s="5" t="s">
        <v>140</v>
      </c>
    </row>
    <row r="14" spans="1:14">
      <c r="A14" s="236" t="s">
        <v>5</v>
      </c>
      <c r="B14" s="236"/>
      <c r="C14" s="29">
        <f>SUM(C4:C13)</f>
        <v>438</v>
      </c>
      <c r="D14" s="29">
        <f t="shared" ref="D14:E14" si="7">SUM(D4:D13)</f>
        <v>331</v>
      </c>
      <c r="E14" s="29">
        <f t="shared" si="7"/>
        <v>107</v>
      </c>
      <c r="F14" s="29">
        <f>SUM(F4:F13)</f>
        <v>11245</v>
      </c>
      <c r="G14" s="29">
        <f t="shared" ref="G14:H14" si="8">SUM(G4:G13)</f>
        <v>8890</v>
      </c>
      <c r="H14" s="29">
        <f t="shared" si="8"/>
        <v>2355</v>
      </c>
      <c r="I14" s="30">
        <f>SUM(I4:I13)</f>
        <v>175746.51300000001</v>
      </c>
      <c r="J14" s="30">
        <f t="shared" ref="J14" si="9">SUM(J4:J13)</f>
        <v>157938.77870000002</v>
      </c>
      <c r="K14" s="30">
        <f>SUM(K4:K13)</f>
        <v>17807.734299999993</v>
      </c>
      <c r="L14" s="29" t="s">
        <v>119</v>
      </c>
      <c r="M14" s="29" t="s">
        <v>119</v>
      </c>
      <c r="N14" s="29" t="s">
        <v>119</v>
      </c>
    </row>
    <row r="16" spans="1:14">
      <c r="B16" s="61"/>
    </row>
  </sheetData>
  <mergeCells count="12">
    <mergeCell ref="M2:N2"/>
    <mergeCell ref="A1:L1"/>
    <mergeCell ref="A14:B14"/>
    <mergeCell ref="A2:A3"/>
    <mergeCell ref="B2:B3"/>
    <mergeCell ref="C2:C3"/>
    <mergeCell ref="D2:E2"/>
    <mergeCell ref="G2:H2"/>
    <mergeCell ref="F2:F3"/>
    <mergeCell ref="I2:I3"/>
    <mergeCell ref="J2:K2"/>
    <mergeCell ref="L2:L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3"/>
  <sheetViews>
    <sheetView topLeftCell="A13" zoomScaleNormal="100" zoomScaleSheetLayoutView="100" workbookViewId="0">
      <selection activeCell="A32" sqref="A32:XFD33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customWidth="1"/>
    <col min="6" max="6" width="10.570312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0" hidden="1" customWidth="1" outlineLevel="1"/>
    <col min="17" max="17" width="10.42578125" hidden="1" customWidth="1" outlineLevel="1"/>
    <col min="18" max="27" width="12.85546875" hidden="1" customWidth="1" outlineLevel="1"/>
    <col min="28" max="28" width="12.85546875" customWidth="1" collapsed="1"/>
    <col min="29" max="31" width="12.85546875" customWidth="1"/>
  </cols>
  <sheetData>
    <row r="1" spans="1:31">
      <c r="C1" s="250" t="s">
        <v>13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</row>
    <row r="2" spans="1:31" ht="30.75" customHeight="1">
      <c r="C2" s="251" t="s">
        <v>108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</row>
    <row r="3" spans="1:31" ht="1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9</v>
      </c>
    </row>
    <row r="4" spans="1:31" s="94" customFormat="1" ht="29.25" customHeight="1">
      <c r="A4" s="266" t="s">
        <v>0</v>
      </c>
      <c r="B4" s="266" t="s">
        <v>15</v>
      </c>
      <c r="C4" s="266" t="s">
        <v>1</v>
      </c>
      <c r="D4" s="266"/>
      <c r="E4" s="266"/>
      <c r="F4" s="266" t="s">
        <v>80</v>
      </c>
      <c r="G4" s="257" t="s">
        <v>10</v>
      </c>
      <c r="H4" s="257"/>
      <c r="I4" s="257"/>
      <c r="J4" s="257" t="s">
        <v>11</v>
      </c>
      <c r="K4" s="257"/>
      <c r="L4" s="257"/>
      <c r="M4" s="257" t="s">
        <v>12</v>
      </c>
      <c r="N4" s="257"/>
      <c r="O4" s="257"/>
      <c r="P4" s="310" t="s">
        <v>41</v>
      </c>
      <c r="Q4" s="310"/>
      <c r="R4" s="310"/>
      <c r="S4" s="257" t="s">
        <v>110</v>
      </c>
      <c r="T4" s="257"/>
      <c r="U4" s="257"/>
      <c r="V4" s="257" t="s">
        <v>121</v>
      </c>
      <c r="W4" s="257"/>
      <c r="X4" s="257"/>
      <c r="Y4" s="257" t="s">
        <v>141</v>
      </c>
      <c r="Z4" s="257"/>
      <c r="AA4" s="257"/>
      <c r="AB4" s="257" t="s">
        <v>142</v>
      </c>
      <c r="AC4" s="257"/>
      <c r="AD4" s="257"/>
      <c r="AE4" s="263" t="s">
        <v>109</v>
      </c>
    </row>
    <row r="5" spans="1:31" s="94" customFormat="1" ht="13.5" customHeight="1">
      <c r="A5" s="266"/>
      <c r="B5" s="266"/>
      <c r="C5" s="266" t="s">
        <v>2</v>
      </c>
      <c r="D5" s="266" t="s">
        <v>3</v>
      </c>
      <c r="E5" s="266" t="s">
        <v>4</v>
      </c>
      <c r="F5" s="266"/>
      <c r="G5" s="258" t="s">
        <v>5</v>
      </c>
      <c r="H5" s="259" t="s">
        <v>14</v>
      </c>
      <c r="I5" s="259"/>
      <c r="J5" s="258" t="s">
        <v>5</v>
      </c>
      <c r="K5" s="259" t="s">
        <v>14</v>
      </c>
      <c r="L5" s="259"/>
      <c r="M5" s="258" t="s">
        <v>5</v>
      </c>
      <c r="N5" s="259" t="s">
        <v>14</v>
      </c>
      <c r="O5" s="259"/>
      <c r="P5" s="258" t="s">
        <v>5</v>
      </c>
      <c r="Q5" s="259" t="s">
        <v>14</v>
      </c>
      <c r="R5" s="259"/>
      <c r="S5" s="258" t="s">
        <v>5</v>
      </c>
      <c r="T5" s="259" t="s">
        <v>14</v>
      </c>
      <c r="U5" s="259"/>
      <c r="V5" s="258" t="s">
        <v>5</v>
      </c>
      <c r="W5" s="259" t="s">
        <v>14</v>
      </c>
      <c r="X5" s="259"/>
      <c r="Y5" s="258" t="s">
        <v>5</v>
      </c>
      <c r="Z5" s="259" t="s">
        <v>14</v>
      </c>
      <c r="AA5" s="259"/>
      <c r="AB5" s="258" t="s">
        <v>5</v>
      </c>
      <c r="AC5" s="259" t="s">
        <v>14</v>
      </c>
      <c r="AD5" s="259"/>
      <c r="AE5" s="263"/>
    </row>
    <row r="6" spans="1:31" s="94" customFormat="1" ht="45">
      <c r="A6" s="266"/>
      <c r="B6" s="266"/>
      <c r="C6" s="266"/>
      <c r="D6" s="266"/>
      <c r="E6" s="266"/>
      <c r="F6" s="266"/>
      <c r="G6" s="258"/>
      <c r="H6" s="224" t="s">
        <v>6</v>
      </c>
      <c r="I6" s="224" t="s">
        <v>7</v>
      </c>
      <c r="J6" s="258"/>
      <c r="K6" s="224" t="s">
        <v>6</v>
      </c>
      <c r="L6" s="224" t="s">
        <v>7</v>
      </c>
      <c r="M6" s="258"/>
      <c r="N6" s="224" t="s">
        <v>6</v>
      </c>
      <c r="O6" s="224" t="s">
        <v>7</v>
      </c>
      <c r="P6" s="258"/>
      <c r="Q6" s="132" t="s">
        <v>6</v>
      </c>
      <c r="R6" s="132" t="s">
        <v>7</v>
      </c>
      <c r="S6" s="258"/>
      <c r="T6" s="132" t="s">
        <v>6</v>
      </c>
      <c r="U6" s="132" t="s">
        <v>7</v>
      </c>
      <c r="V6" s="258"/>
      <c r="W6" s="132" t="s">
        <v>6</v>
      </c>
      <c r="X6" s="132" t="s">
        <v>7</v>
      </c>
      <c r="Y6" s="258"/>
      <c r="Z6" s="132" t="s">
        <v>6</v>
      </c>
      <c r="AA6" s="132" t="s">
        <v>7</v>
      </c>
      <c r="AB6" s="258"/>
      <c r="AC6" s="132" t="s">
        <v>6</v>
      </c>
      <c r="AD6" s="132" t="s">
        <v>7</v>
      </c>
      <c r="AE6" s="263"/>
    </row>
    <row r="7" spans="1:31" s="94" customFormat="1">
      <c r="A7" s="137">
        <v>1</v>
      </c>
      <c r="B7" s="117" t="s">
        <v>104</v>
      </c>
      <c r="C7" s="116" t="s">
        <v>83</v>
      </c>
      <c r="D7" s="130">
        <v>13</v>
      </c>
      <c r="E7" s="130"/>
      <c r="F7" s="138">
        <v>8</v>
      </c>
      <c r="G7" s="141">
        <v>388.4</v>
      </c>
      <c r="H7" s="141">
        <v>93.2</v>
      </c>
      <c r="I7" s="141">
        <v>295.2</v>
      </c>
      <c r="J7" s="141">
        <v>495.1</v>
      </c>
      <c r="K7" s="141">
        <v>118.9</v>
      </c>
      <c r="L7" s="141">
        <v>376.2</v>
      </c>
      <c r="M7" s="141">
        <v>503.1</v>
      </c>
      <c r="N7" s="141">
        <v>122.5</v>
      </c>
      <c r="O7" s="141">
        <v>380.6</v>
      </c>
      <c r="P7" s="141">
        <f t="shared" ref="P7:P24" si="0">SUM(Q7:R7)</f>
        <v>525.09999999999991</v>
      </c>
      <c r="Q7" s="141">
        <v>130.19999999999999</v>
      </c>
      <c r="R7" s="141">
        <v>394.9</v>
      </c>
      <c r="S7" s="141">
        <f t="shared" ref="S7:S25" si="1">SUM(T7:U7)</f>
        <v>550.1</v>
      </c>
      <c r="T7" s="141">
        <v>128.6</v>
      </c>
      <c r="U7" s="141">
        <v>421.5</v>
      </c>
      <c r="V7" s="100">
        <v>575.70000000000005</v>
      </c>
      <c r="W7" s="100">
        <v>128.69999999999999</v>
      </c>
      <c r="X7" s="100">
        <v>447</v>
      </c>
      <c r="Y7" s="103">
        <v>573.1</v>
      </c>
      <c r="Z7" s="103">
        <v>135.6</v>
      </c>
      <c r="AA7" s="103">
        <v>437.5</v>
      </c>
      <c r="AB7" s="97">
        <v>561.20000000000005</v>
      </c>
      <c r="AC7" s="97">
        <v>140.5</v>
      </c>
      <c r="AD7" s="97">
        <v>420.7</v>
      </c>
      <c r="AE7" s="225">
        <f t="shared" ref="AE7:AE24" si="2">AB7/F7</f>
        <v>70.150000000000006</v>
      </c>
    </row>
    <row r="8" spans="1:31" s="94" customFormat="1">
      <c r="A8" s="137">
        <f>A7+1</f>
        <v>2</v>
      </c>
      <c r="B8" s="117" t="s">
        <v>104</v>
      </c>
      <c r="C8" s="117" t="s">
        <v>83</v>
      </c>
      <c r="D8" s="137">
        <v>11</v>
      </c>
      <c r="E8" s="137"/>
      <c r="F8" s="141">
        <v>27</v>
      </c>
      <c r="G8" s="141"/>
      <c r="H8" s="141">
        <v>374.1</v>
      </c>
      <c r="I8" s="141">
        <v>412.3</v>
      </c>
      <c r="J8" s="141">
        <v>1058.5999999999999</v>
      </c>
      <c r="K8" s="141">
        <v>294.8</v>
      </c>
      <c r="L8" s="141">
        <v>763.8</v>
      </c>
      <c r="M8" s="141">
        <v>1039.8</v>
      </c>
      <c r="N8" s="141">
        <v>201</v>
      </c>
      <c r="O8" s="141">
        <v>838.8</v>
      </c>
      <c r="P8" s="141">
        <f t="shared" si="0"/>
        <v>1041.4000000000001</v>
      </c>
      <c r="Q8" s="141">
        <v>126.4</v>
      </c>
      <c r="R8" s="141">
        <v>915</v>
      </c>
      <c r="S8" s="141">
        <f t="shared" si="1"/>
        <v>1121.2</v>
      </c>
      <c r="T8" s="141">
        <v>509.2</v>
      </c>
      <c r="U8" s="141">
        <v>612</v>
      </c>
      <c r="V8" s="100">
        <v>1073.4000000000001</v>
      </c>
      <c r="W8" s="100">
        <v>472.7</v>
      </c>
      <c r="X8" s="100">
        <v>600.70000000000005</v>
      </c>
      <c r="Y8" s="103">
        <v>1107.7</v>
      </c>
      <c r="Z8" s="103">
        <v>494.5</v>
      </c>
      <c r="AA8" s="103">
        <v>613.20000000000005</v>
      </c>
      <c r="AB8" s="97">
        <v>947.6</v>
      </c>
      <c r="AC8" s="97">
        <v>316.3</v>
      </c>
      <c r="AD8" s="97">
        <v>631.29999999999995</v>
      </c>
      <c r="AE8" s="191">
        <f t="shared" si="2"/>
        <v>35.096296296296295</v>
      </c>
    </row>
    <row r="9" spans="1:31" s="94" customFormat="1">
      <c r="A9" s="137">
        <f t="shared" ref="A9:A24" si="3">A8+1</f>
        <v>3</v>
      </c>
      <c r="B9" s="117" t="s">
        <v>104</v>
      </c>
      <c r="C9" s="117" t="s">
        <v>83</v>
      </c>
      <c r="D9" s="137">
        <v>16</v>
      </c>
      <c r="E9" s="137"/>
      <c r="F9" s="141">
        <v>27</v>
      </c>
      <c r="G9" s="141"/>
      <c r="H9" s="141">
        <v>298.8</v>
      </c>
      <c r="I9" s="141">
        <v>280.60000000000002</v>
      </c>
      <c r="J9" s="141">
        <v>949</v>
      </c>
      <c r="K9" s="141">
        <v>259.2</v>
      </c>
      <c r="L9" s="141">
        <v>689.8</v>
      </c>
      <c r="M9" s="141">
        <v>877.3</v>
      </c>
      <c r="N9" s="141">
        <v>108.3</v>
      </c>
      <c r="O9" s="141">
        <v>769</v>
      </c>
      <c r="P9" s="141">
        <f t="shared" si="0"/>
        <v>945.9</v>
      </c>
      <c r="Q9" s="141">
        <v>103</v>
      </c>
      <c r="R9" s="141">
        <v>842.9</v>
      </c>
      <c r="S9" s="141">
        <f t="shared" si="1"/>
        <v>780.8</v>
      </c>
      <c r="T9" s="141">
        <v>311.60000000000002</v>
      </c>
      <c r="U9" s="141">
        <v>469.2</v>
      </c>
      <c r="V9" s="100">
        <v>913</v>
      </c>
      <c r="W9" s="100">
        <v>339.5</v>
      </c>
      <c r="X9" s="100">
        <v>573.5</v>
      </c>
      <c r="Y9" s="103">
        <v>857.5</v>
      </c>
      <c r="Z9" s="103">
        <v>327.9</v>
      </c>
      <c r="AA9" s="103">
        <v>529.6</v>
      </c>
      <c r="AB9" s="97">
        <v>909.7</v>
      </c>
      <c r="AC9" s="97">
        <v>367.2</v>
      </c>
      <c r="AD9" s="97">
        <v>542.5</v>
      </c>
      <c r="AE9" s="191">
        <f t="shared" si="2"/>
        <v>33.692592592592597</v>
      </c>
    </row>
    <row r="10" spans="1:31" s="94" customFormat="1">
      <c r="A10" s="137">
        <f t="shared" si="3"/>
        <v>4</v>
      </c>
      <c r="B10" s="117" t="s">
        <v>104</v>
      </c>
      <c r="C10" s="116" t="s">
        <v>24</v>
      </c>
      <c r="D10" s="130">
        <v>22</v>
      </c>
      <c r="E10" s="130"/>
      <c r="F10" s="138">
        <v>80</v>
      </c>
      <c r="G10" s="141"/>
      <c r="H10" s="141">
        <v>857.6</v>
      </c>
      <c r="I10" s="141">
        <v>681</v>
      </c>
      <c r="J10" s="141">
        <v>1855.5</v>
      </c>
      <c r="K10" s="141">
        <v>935.9</v>
      </c>
      <c r="L10" s="141">
        <v>919.6</v>
      </c>
      <c r="M10" s="141">
        <v>1895.4</v>
      </c>
      <c r="N10" s="141">
        <v>988.4</v>
      </c>
      <c r="O10" s="141">
        <v>907</v>
      </c>
      <c r="P10" s="141">
        <f t="shared" si="0"/>
        <v>2008.2</v>
      </c>
      <c r="Q10" s="141">
        <v>1080.2</v>
      </c>
      <c r="R10" s="141">
        <v>928</v>
      </c>
      <c r="S10" s="141">
        <f t="shared" si="1"/>
        <v>2118.1999999999998</v>
      </c>
      <c r="T10" s="141">
        <v>1136.0999999999999</v>
      </c>
      <c r="U10" s="141">
        <v>982.1</v>
      </c>
      <c r="V10" s="100">
        <v>2178.8000000000002</v>
      </c>
      <c r="W10" s="100">
        <v>1111.0999999999999</v>
      </c>
      <c r="X10" s="100">
        <v>1067.7</v>
      </c>
      <c r="Y10" s="103">
        <v>1991.5</v>
      </c>
      <c r="Z10" s="103">
        <v>1115.0999999999999</v>
      </c>
      <c r="AA10" s="103">
        <v>876.4</v>
      </c>
      <c r="AB10" s="116">
        <v>1876.3</v>
      </c>
      <c r="AC10" s="116">
        <v>1111.3</v>
      </c>
      <c r="AD10" s="116">
        <v>765</v>
      </c>
      <c r="AE10" s="191">
        <f t="shared" si="2"/>
        <v>23.453749999999999</v>
      </c>
    </row>
    <row r="11" spans="1:31" s="94" customFormat="1">
      <c r="A11" s="137">
        <f t="shared" si="3"/>
        <v>5</v>
      </c>
      <c r="B11" s="117" t="s">
        <v>104</v>
      </c>
      <c r="C11" s="117" t="s">
        <v>98</v>
      </c>
      <c r="D11" s="137">
        <v>33</v>
      </c>
      <c r="E11" s="137"/>
      <c r="F11" s="141">
        <v>16</v>
      </c>
      <c r="G11" s="141">
        <v>0</v>
      </c>
      <c r="H11" s="141">
        <v>0</v>
      </c>
      <c r="I11" s="141">
        <v>0</v>
      </c>
      <c r="J11" s="141">
        <v>181.6</v>
      </c>
      <c r="K11" s="141">
        <v>5.6</v>
      </c>
      <c r="L11" s="141">
        <v>176</v>
      </c>
      <c r="M11" s="141">
        <v>180.6</v>
      </c>
      <c r="N11" s="141">
        <v>15.1</v>
      </c>
      <c r="O11" s="141">
        <v>165.5</v>
      </c>
      <c r="P11" s="141">
        <f t="shared" si="0"/>
        <v>232.6</v>
      </c>
      <c r="Q11" s="141">
        <v>38</v>
      </c>
      <c r="R11" s="141">
        <v>194.6</v>
      </c>
      <c r="S11" s="141">
        <f t="shared" si="1"/>
        <v>273.2</v>
      </c>
      <c r="T11" s="141">
        <v>11.4</v>
      </c>
      <c r="U11" s="141">
        <v>261.8</v>
      </c>
      <c r="V11" s="100">
        <v>285.2</v>
      </c>
      <c r="W11" s="100">
        <v>3.6</v>
      </c>
      <c r="X11" s="100">
        <v>281.60000000000002</v>
      </c>
      <c r="Y11" s="103">
        <v>311.89999999999998</v>
      </c>
      <c r="Z11" s="103">
        <v>6.8</v>
      </c>
      <c r="AA11" s="103">
        <v>305.10000000000002</v>
      </c>
      <c r="AB11" s="97">
        <v>366</v>
      </c>
      <c r="AC11" s="97">
        <v>109.1</v>
      </c>
      <c r="AD11" s="97">
        <v>256.89999999999998</v>
      </c>
      <c r="AE11" s="191">
        <f t="shared" si="2"/>
        <v>22.875</v>
      </c>
    </row>
    <row r="12" spans="1:31" s="94" customFormat="1">
      <c r="A12" s="137">
        <f t="shared" si="3"/>
        <v>6</v>
      </c>
      <c r="B12" s="117" t="s">
        <v>104</v>
      </c>
      <c r="C12" s="117" t="s">
        <v>51</v>
      </c>
      <c r="D12" s="137">
        <v>13</v>
      </c>
      <c r="E12" s="137"/>
      <c r="F12" s="141">
        <v>23</v>
      </c>
      <c r="G12" s="141"/>
      <c r="H12" s="141">
        <v>150.4</v>
      </c>
      <c r="I12" s="141">
        <v>165.5</v>
      </c>
      <c r="J12" s="141">
        <v>472.9</v>
      </c>
      <c r="K12" s="141">
        <v>158.80000000000001</v>
      </c>
      <c r="L12" s="141">
        <v>314.10000000000002</v>
      </c>
      <c r="M12" s="141">
        <v>473.8</v>
      </c>
      <c r="N12" s="141">
        <v>154.6</v>
      </c>
      <c r="O12" s="141">
        <v>319.2</v>
      </c>
      <c r="P12" s="141">
        <f t="shared" si="0"/>
        <v>487.6</v>
      </c>
      <c r="Q12" s="141">
        <v>157.80000000000001</v>
      </c>
      <c r="R12" s="141">
        <v>329.8</v>
      </c>
      <c r="S12" s="141">
        <f t="shared" si="1"/>
        <v>504.7</v>
      </c>
      <c r="T12" s="141">
        <v>147.19999999999999</v>
      </c>
      <c r="U12" s="141">
        <v>357.5</v>
      </c>
      <c r="V12" s="100">
        <v>567.79999999999995</v>
      </c>
      <c r="W12" s="100">
        <v>141.6</v>
      </c>
      <c r="X12" s="100">
        <v>426.2</v>
      </c>
      <c r="Y12" s="103">
        <v>517</v>
      </c>
      <c r="Z12" s="103">
        <v>138.1</v>
      </c>
      <c r="AA12" s="103">
        <v>378.9</v>
      </c>
      <c r="AB12" s="97">
        <v>486.4</v>
      </c>
      <c r="AC12" s="97">
        <v>141.19999999999999</v>
      </c>
      <c r="AD12" s="97">
        <v>345.2</v>
      </c>
      <c r="AE12" s="191">
        <f t="shared" si="2"/>
        <v>21.14782608695652</v>
      </c>
    </row>
    <row r="13" spans="1:31" s="94" customFormat="1">
      <c r="A13" s="137">
        <f t="shared" si="3"/>
        <v>7</v>
      </c>
      <c r="B13" s="117" t="s">
        <v>104</v>
      </c>
      <c r="C13" s="117" t="s">
        <v>93</v>
      </c>
      <c r="D13" s="137">
        <v>10</v>
      </c>
      <c r="E13" s="137"/>
      <c r="F13" s="141">
        <v>12</v>
      </c>
      <c r="G13" s="141">
        <v>165.6</v>
      </c>
      <c r="H13" s="141">
        <v>123.7</v>
      </c>
      <c r="I13" s="141">
        <v>41.9</v>
      </c>
      <c r="J13" s="141">
        <v>212</v>
      </c>
      <c r="K13" s="141">
        <v>154</v>
      </c>
      <c r="L13" s="141">
        <v>58</v>
      </c>
      <c r="M13" s="141">
        <v>216.5</v>
      </c>
      <c r="N13" s="141">
        <v>156.30000000000001</v>
      </c>
      <c r="O13" s="141">
        <v>60.2</v>
      </c>
      <c r="P13" s="141">
        <f t="shared" si="0"/>
        <v>230.9</v>
      </c>
      <c r="Q13" s="141">
        <v>166.3</v>
      </c>
      <c r="R13" s="141">
        <v>64.599999999999994</v>
      </c>
      <c r="S13" s="141">
        <f t="shared" si="1"/>
        <v>237.3</v>
      </c>
      <c r="T13" s="141">
        <v>170.1</v>
      </c>
      <c r="U13" s="141">
        <v>67.2</v>
      </c>
      <c r="V13" s="100">
        <v>233.7</v>
      </c>
      <c r="W13" s="100">
        <v>166.2</v>
      </c>
      <c r="X13" s="100">
        <v>67.5</v>
      </c>
      <c r="Y13" s="103">
        <v>243.3</v>
      </c>
      <c r="Z13" s="103">
        <v>172.5</v>
      </c>
      <c r="AA13" s="103">
        <v>70.8</v>
      </c>
      <c r="AB13" s="97">
        <v>251.5</v>
      </c>
      <c r="AC13" s="97">
        <v>177.1</v>
      </c>
      <c r="AD13" s="97">
        <v>74.400000000000006</v>
      </c>
      <c r="AE13" s="191">
        <f t="shared" si="2"/>
        <v>20.958333333333332</v>
      </c>
    </row>
    <row r="14" spans="1:31" s="94" customFormat="1">
      <c r="A14" s="137">
        <f t="shared" si="3"/>
        <v>8</v>
      </c>
      <c r="B14" s="117" t="s">
        <v>104</v>
      </c>
      <c r="C14" s="117" t="s">
        <v>105</v>
      </c>
      <c r="D14" s="137">
        <v>9</v>
      </c>
      <c r="E14" s="137"/>
      <c r="F14" s="141">
        <v>52</v>
      </c>
      <c r="G14" s="141"/>
      <c r="H14" s="141">
        <v>259.7</v>
      </c>
      <c r="I14" s="141">
        <v>364.5</v>
      </c>
      <c r="J14" s="141">
        <v>905.9</v>
      </c>
      <c r="K14" s="141">
        <v>372.9</v>
      </c>
      <c r="L14" s="141">
        <v>533</v>
      </c>
      <c r="M14" s="141">
        <v>884</v>
      </c>
      <c r="N14" s="141">
        <v>397.7</v>
      </c>
      <c r="O14" s="141">
        <v>486.3</v>
      </c>
      <c r="P14" s="141">
        <f t="shared" si="0"/>
        <v>919.1</v>
      </c>
      <c r="Q14" s="141">
        <v>399.4</v>
      </c>
      <c r="R14" s="141">
        <v>519.70000000000005</v>
      </c>
      <c r="S14" s="141">
        <f t="shared" si="1"/>
        <v>1078.6999999999998</v>
      </c>
      <c r="T14" s="141">
        <v>455.4</v>
      </c>
      <c r="U14" s="141">
        <v>623.29999999999995</v>
      </c>
      <c r="V14" s="100">
        <v>1080.5999999999999</v>
      </c>
      <c r="W14" s="100">
        <v>406.8</v>
      </c>
      <c r="X14" s="100">
        <v>673.8</v>
      </c>
      <c r="Y14" s="103">
        <v>1037.0999999999999</v>
      </c>
      <c r="Z14" s="103">
        <v>366.9</v>
      </c>
      <c r="AA14" s="103">
        <v>670.2</v>
      </c>
      <c r="AB14" s="97">
        <v>1002.4</v>
      </c>
      <c r="AC14" s="97">
        <v>429.6</v>
      </c>
      <c r="AD14" s="97">
        <v>572.79999999999995</v>
      </c>
      <c r="AE14" s="191">
        <f t="shared" si="2"/>
        <v>19.276923076923076</v>
      </c>
    </row>
    <row r="15" spans="1:31" s="94" customFormat="1">
      <c r="A15" s="137">
        <f>A14+1</f>
        <v>9</v>
      </c>
      <c r="B15" s="117" t="s">
        <v>104</v>
      </c>
      <c r="C15" s="117" t="s">
        <v>93</v>
      </c>
      <c r="D15" s="137">
        <v>6</v>
      </c>
      <c r="E15" s="137"/>
      <c r="F15" s="141">
        <v>8</v>
      </c>
      <c r="G15" s="141">
        <v>117.9</v>
      </c>
      <c r="H15" s="141">
        <v>98.8</v>
      </c>
      <c r="I15" s="141">
        <v>19.100000000000001</v>
      </c>
      <c r="J15" s="141">
        <v>126.3</v>
      </c>
      <c r="K15" s="141">
        <v>104.2</v>
      </c>
      <c r="L15" s="141">
        <v>22.1</v>
      </c>
      <c r="M15" s="141">
        <v>131.1</v>
      </c>
      <c r="N15" s="141">
        <v>108.9</v>
      </c>
      <c r="O15" s="141">
        <v>22.2</v>
      </c>
      <c r="P15" s="141">
        <f t="shared" si="0"/>
        <v>136.69999999999999</v>
      </c>
      <c r="Q15" s="141">
        <v>113.3</v>
      </c>
      <c r="R15" s="141">
        <v>23.4</v>
      </c>
      <c r="S15" s="141">
        <f t="shared" si="1"/>
        <v>140.19999999999999</v>
      </c>
      <c r="T15" s="141">
        <v>115.6</v>
      </c>
      <c r="U15" s="141">
        <v>24.6</v>
      </c>
      <c r="V15" s="100">
        <v>146.6</v>
      </c>
      <c r="W15" s="100">
        <v>120.3</v>
      </c>
      <c r="X15" s="100">
        <v>26.3</v>
      </c>
      <c r="Y15" s="103">
        <v>151.69999999999999</v>
      </c>
      <c r="Z15" s="103">
        <v>124.8</v>
      </c>
      <c r="AA15" s="103">
        <v>26.9</v>
      </c>
      <c r="AB15" s="97">
        <v>153.4</v>
      </c>
      <c r="AC15" s="97">
        <v>125.3</v>
      </c>
      <c r="AD15" s="97">
        <v>28.1</v>
      </c>
      <c r="AE15" s="191">
        <f t="shared" si="2"/>
        <v>19.175000000000001</v>
      </c>
    </row>
    <row r="16" spans="1:31" s="94" customFormat="1">
      <c r="A16" s="137">
        <f t="shared" si="3"/>
        <v>10</v>
      </c>
      <c r="B16" s="117" t="s">
        <v>104</v>
      </c>
      <c r="C16" s="117" t="s">
        <v>51</v>
      </c>
      <c r="D16" s="137">
        <v>2</v>
      </c>
      <c r="E16" s="137"/>
      <c r="F16" s="141">
        <v>12</v>
      </c>
      <c r="G16" s="141">
        <v>0</v>
      </c>
      <c r="H16" s="141">
        <v>0</v>
      </c>
      <c r="I16" s="141">
        <v>0</v>
      </c>
      <c r="J16" s="141">
        <v>91.2</v>
      </c>
      <c r="K16" s="141">
        <v>36.6</v>
      </c>
      <c r="L16" s="141">
        <v>54.6</v>
      </c>
      <c r="M16" s="141">
        <v>73.400000000000006</v>
      </c>
      <c r="N16" s="141">
        <v>43.8</v>
      </c>
      <c r="O16" s="141">
        <v>29.6</v>
      </c>
      <c r="P16" s="141">
        <f t="shared" si="0"/>
        <v>81.3</v>
      </c>
      <c r="Q16" s="141">
        <v>45.9</v>
      </c>
      <c r="R16" s="141">
        <v>35.4</v>
      </c>
      <c r="S16" s="141">
        <f t="shared" si="1"/>
        <v>137.6</v>
      </c>
      <c r="T16" s="141">
        <v>52.6</v>
      </c>
      <c r="U16" s="141">
        <v>85</v>
      </c>
      <c r="V16" s="100">
        <v>165.9</v>
      </c>
      <c r="W16" s="100">
        <v>59.9</v>
      </c>
      <c r="X16" s="100">
        <v>106</v>
      </c>
      <c r="Y16" s="103">
        <v>180.5</v>
      </c>
      <c r="Z16" s="103">
        <v>65.099999999999994</v>
      </c>
      <c r="AA16" s="103">
        <v>115.4</v>
      </c>
      <c r="AB16" s="97">
        <v>190.9</v>
      </c>
      <c r="AC16" s="97">
        <v>64.599999999999994</v>
      </c>
      <c r="AD16" s="97">
        <v>126.3</v>
      </c>
      <c r="AE16" s="191">
        <f t="shared" si="2"/>
        <v>15.908333333333333</v>
      </c>
    </row>
    <row r="17" spans="1:31" s="94" customFormat="1">
      <c r="A17" s="137">
        <f t="shared" si="3"/>
        <v>11</v>
      </c>
      <c r="B17" s="117" t="s">
        <v>104</v>
      </c>
      <c r="C17" s="117" t="s">
        <v>90</v>
      </c>
      <c r="D17" s="137">
        <v>43</v>
      </c>
      <c r="E17" s="137"/>
      <c r="F17" s="141">
        <v>35</v>
      </c>
      <c r="G17" s="141"/>
      <c r="H17" s="141">
        <v>157.80000000000001</v>
      </c>
      <c r="I17" s="141">
        <v>284.5</v>
      </c>
      <c r="J17" s="141">
        <v>416.6</v>
      </c>
      <c r="K17" s="141">
        <v>161.19999999999999</v>
      </c>
      <c r="L17" s="141">
        <v>255.4</v>
      </c>
      <c r="M17" s="141">
        <v>340.7</v>
      </c>
      <c r="N17" s="141">
        <v>170</v>
      </c>
      <c r="O17" s="141">
        <v>170.7</v>
      </c>
      <c r="P17" s="141">
        <f t="shared" si="0"/>
        <v>324.3</v>
      </c>
      <c r="Q17" s="141">
        <v>177.3</v>
      </c>
      <c r="R17" s="141">
        <v>147</v>
      </c>
      <c r="S17" s="141">
        <f t="shared" si="1"/>
        <v>416</v>
      </c>
      <c r="T17" s="141">
        <v>177.8</v>
      </c>
      <c r="U17" s="141">
        <v>238.2</v>
      </c>
      <c r="V17" s="100">
        <v>437</v>
      </c>
      <c r="W17" s="100">
        <v>172.4</v>
      </c>
      <c r="X17" s="100">
        <v>264.60000000000002</v>
      </c>
      <c r="Y17" s="103">
        <v>452.1</v>
      </c>
      <c r="Z17" s="103">
        <v>174.8</v>
      </c>
      <c r="AA17" s="103">
        <v>277.3</v>
      </c>
      <c r="AB17" s="97">
        <v>484.1</v>
      </c>
      <c r="AC17" s="97">
        <v>190.2</v>
      </c>
      <c r="AD17" s="97">
        <v>293.89999999999998</v>
      </c>
      <c r="AE17" s="191">
        <f t="shared" si="2"/>
        <v>13.831428571428573</v>
      </c>
    </row>
    <row r="18" spans="1:31" s="94" customFormat="1">
      <c r="A18" s="137">
        <f t="shared" si="3"/>
        <v>12</v>
      </c>
      <c r="B18" s="117" t="s">
        <v>104</v>
      </c>
      <c r="C18" s="117" t="s">
        <v>90</v>
      </c>
      <c r="D18" s="137">
        <v>37</v>
      </c>
      <c r="E18" s="137" t="s">
        <v>20</v>
      </c>
      <c r="F18" s="141">
        <v>21</v>
      </c>
      <c r="G18" s="141">
        <v>0</v>
      </c>
      <c r="H18" s="141">
        <v>0</v>
      </c>
      <c r="I18" s="141">
        <v>0</v>
      </c>
      <c r="J18" s="141">
        <v>184.5</v>
      </c>
      <c r="K18" s="141">
        <v>75.8</v>
      </c>
      <c r="L18" s="141">
        <v>108.7</v>
      </c>
      <c r="M18" s="141">
        <v>151.4</v>
      </c>
      <c r="N18" s="141">
        <v>82.9</v>
      </c>
      <c r="O18" s="141">
        <v>68.5</v>
      </c>
      <c r="P18" s="141">
        <f t="shared" si="0"/>
        <v>165.5</v>
      </c>
      <c r="Q18" s="141">
        <v>85.8</v>
      </c>
      <c r="R18" s="141">
        <v>79.7</v>
      </c>
      <c r="S18" s="141">
        <f t="shared" si="1"/>
        <v>232.79999999999998</v>
      </c>
      <c r="T18" s="141">
        <v>89.6</v>
      </c>
      <c r="U18" s="141">
        <v>143.19999999999999</v>
      </c>
      <c r="V18" s="100">
        <v>246.7</v>
      </c>
      <c r="W18" s="100">
        <v>88.1</v>
      </c>
      <c r="X18" s="100">
        <v>158.6</v>
      </c>
      <c r="Y18" s="103">
        <v>255.2</v>
      </c>
      <c r="Z18" s="103">
        <v>89.7</v>
      </c>
      <c r="AA18" s="103">
        <v>165.5</v>
      </c>
      <c r="AB18" s="97">
        <v>274.60000000000002</v>
      </c>
      <c r="AC18" s="97">
        <v>93.3</v>
      </c>
      <c r="AD18" s="97">
        <v>181.3</v>
      </c>
      <c r="AE18" s="191">
        <f t="shared" si="2"/>
        <v>13.076190476190478</v>
      </c>
    </row>
    <row r="19" spans="1:31" s="94" customFormat="1">
      <c r="A19" s="137">
        <f>A18+1</f>
        <v>13</v>
      </c>
      <c r="B19" s="117" t="s">
        <v>104</v>
      </c>
      <c r="C19" s="117" t="s">
        <v>93</v>
      </c>
      <c r="D19" s="137">
        <v>9</v>
      </c>
      <c r="E19" s="137"/>
      <c r="F19" s="141">
        <v>12</v>
      </c>
      <c r="G19" s="141">
        <v>183.8</v>
      </c>
      <c r="H19" s="141">
        <v>183.8</v>
      </c>
      <c r="I19" s="141">
        <v>0</v>
      </c>
      <c r="J19" s="141">
        <v>243.6</v>
      </c>
      <c r="K19" s="141">
        <v>243.6</v>
      </c>
      <c r="L19" s="141">
        <v>0</v>
      </c>
      <c r="M19" s="141">
        <v>229.6</v>
      </c>
      <c r="N19" s="141">
        <v>229.6</v>
      </c>
      <c r="O19" s="141">
        <v>0</v>
      </c>
      <c r="P19" s="141">
        <f t="shared" si="0"/>
        <v>251.7</v>
      </c>
      <c r="Q19" s="141">
        <v>251.7</v>
      </c>
      <c r="R19" s="141">
        <v>0</v>
      </c>
      <c r="S19" s="141">
        <f t="shared" si="1"/>
        <v>267.3</v>
      </c>
      <c r="T19" s="141">
        <v>267.3</v>
      </c>
      <c r="U19" s="141">
        <v>0</v>
      </c>
      <c r="V19" s="100">
        <v>274</v>
      </c>
      <c r="W19" s="100">
        <v>274</v>
      </c>
      <c r="X19" s="100">
        <v>0</v>
      </c>
      <c r="Y19" s="103">
        <v>283</v>
      </c>
      <c r="Z19" s="103">
        <v>283</v>
      </c>
      <c r="AA19" s="103">
        <v>0</v>
      </c>
      <c r="AB19" s="97">
        <v>126.7</v>
      </c>
      <c r="AC19" s="97">
        <v>126.7</v>
      </c>
      <c r="AD19" s="97">
        <v>0</v>
      </c>
      <c r="AE19" s="191">
        <f t="shared" si="2"/>
        <v>10.558333333333334</v>
      </c>
    </row>
    <row r="20" spans="1:31" s="94" customFormat="1">
      <c r="A20" s="137">
        <f t="shared" si="3"/>
        <v>14</v>
      </c>
      <c r="B20" s="117" t="s">
        <v>104</v>
      </c>
      <c r="C20" s="117" t="s">
        <v>94</v>
      </c>
      <c r="D20" s="137">
        <v>1</v>
      </c>
      <c r="E20" s="137"/>
      <c r="F20" s="141">
        <v>12</v>
      </c>
      <c r="G20" s="141">
        <v>0</v>
      </c>
      <c r="H20" s="141">
        <v>0</v>
      </c>
      <c r="I20" s="141">
        <v>0</v>
      </c>
      <c r="J20" s="141">
        <v>78.3</v>
      </c>
      <c r="K20" s="141">
        <v>57.5</v>
      </c>
      <c r="L20" s="141">
        <v>20.8</v>
      </c>
      <c r="M20" s="141">
        <v>90.5</v>
      </c>
      <c r="N20" s="141">
        <v>65</v>
      </c>
      <c r="O20" s="141">
        <v>25.5</v>
      </c>
      <c r="P20" s="141">
        <f t="shared" si="0"/>
        <v>107</v>
      </c>
      <c r="Q20" s="141">
        <v>76.2</v>
      </c>
      <c r="R20" s="141">
        <v>30.8</v>
      </c>
      <c r="S20" s="141">
        <f t="shared" si="1"/>
        <v>114.3</v>
      </c>
      <c r="T20" s="141">
        <v>78.5</v>
      </c>
      <c r="U20" s="141">
        <v>35.799999999999997</v>
      </c>
      <c r="V20" s="100">
        <v>96.1</v>
      </c>
      <c r="W20" s="100">
        <v>70.7</v>
      </c>
      <c r="X20" s="100">
        <v>25.4</v>
      </c>
      <c r="Y20" s="103">
        <v>106.9</v>
      </c>
      <c r="Z20" s="103">
        <v>77</v>
      </c>
      <c r="AA20" s="103">
        <v>29.9</v>
      </c>
      <c r="AB20" s="97">
        <v>100.6</v>
      </c>
      <c r="AC20" s="97">
        <v>72.7</v>
      </c>
      <c r="AD20" s="97">
        <v>27.9</v>
      </c>
      <c r="AE20" s="191">
        <f t="shared" si="2"/>
        <v>8.3833333333333329</v>
      </c>
    </row>
    <row r="21" spans="1:31" s="94" customFormat="1">
      <c r="A21" s="137">
        <f t="shared" si="3"/>
        <v>15</v>
      </c>
      <c r="B21" s="117" t="s">
        <v>104</v>
      </c>
      <c r="C21" s="117" t="s">
        <v>106</v>
      </c>
      <c r="D21" s="137">
        <v>48</v>
      </c>
      <c r="E21" s="137" t="s">
        <v>21</v>
      </c>
      <c r="F21" s="141">
        <v>12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36.6</v>
      </c>
      <c r="N21" s="141">
        <v>36.6</v>
      </c>
      <c r="O21" s="141">
        <v>0</v>
      </c>
      <c r="P21" s="141">
        <f t="shared" si="0"/>
        <v>48.2</v>
      </c>
      <c r="Q21" s="141">
        <v>48.2</v>
      </c>
      <c r="R21" s="141">
        <v>0</v>
      </c>
      <c r="S21" s="141">
        <f t="shared" si="1"/>
        <v>53</v>
      </c>
      <c r="T21" s="141">
        <v>53</v>
      </c>
      <c r="U21" s="141">
        <v>0</v>
      </c>
      <c r="V21" s="100">
        <v>64.599999999999994</v>
      </c>
      <c r="W21" s="100">
        <v>64.599999999999994</v>
      </c>
      <c r="X21" s="100">
        <v>0</v>
      </c>
      <c r="Y21" s="103">
        <v>81.599999999999994</v>
      </c>
      <c r="Z21" s="103">
        <v>81.599999999999994</v>
      </c>
      <c r="AA21" s="103">
        <v>0</v>
      </c>
      <c r="AB21" s="97">
        <v>86.4</v>
      </c>
      <c r="AC21" s="97">
        <v>86.4</v>
      </c>
      <c r="AD21" s="97">
        <v>0</v>
      </c>
      <c r="AE21" s="191">
        <f t="shared" si="2"/>
        <v>7.2</v>
      </c>
    </row>
    <row r="22" spans="1:31" s="94" customFormat="1">
      <c r="A22" s="137">
        <f t="shared" si="3"/>
        <v>16</v>
      </c>
      <c r="B22" s="117" t="s">
        <v>104</v>
      </c>
      <c r="C22" s="117" t="s">
        <v>107</v>
      </c>
      <c r="D22" s="137">
        <v>15</v>
      </c>
      <c r="E22" s="137"/>
      <c r="F22" s="141">
        <v>41</v>
      </c>
      <c r="G22" s="141">
        <v>0</v>
      </c>
      <c r="H22" s="141">
        <v>0</v>
      </c>
      <c r="I22" s="141">
        <v>0</v>
      </c>
      <c r="J22" s="141">
        <v>147.19999999999999</v>
      </c>
      <c r="K22" s="141">
        <v>108.3</v>
      </c>
      <c r="L22" s="141">
        <v>38.9</v>
      </c>
      <c r="M22" s="141">
        <v>144.9</v>
      </c>
      <c r="N22" s="141">
        <v>108.1</v>
      </c>
      <c r="O22" s="141">
        <v>36.799999999999997</v>
      </c>
      <c r="P22" s="141">
        <f t="shared" si="0"/>
        <v>144.6</v>
      </c>
      <c r="Q22" s="141">
        <v>118.3</v>
      </c>
      <c r="R22" s="141">
        <v>26.3</v>
      </c>
      <c r="S22" s="141">
        <f t="shared" si="1"/>
        <v>224.9</v>
      </c>
      <c r="T22" s="141">
        <v>155</v>
      </c>
      <c r="U22" s="141">
        <v>69.900000000000006</v>
      </c>
      <c r="V22" s="100">
        <v>287.89999999999998</v>
      </c>
      <c r="W22" s="100">
        <v>166.4</v>
      </c>
      <c r="X22" s="100">
        <v>121.5</v>
      </c>
      <c r="Y22" s="103">
        <v>265.5</v>
      </c>
      <c r="Z22" s="103">
        <v>195.7</v>
      </c>
      <c r="AA22" s="103">
        <v>69.8</v>
      </c>
      <c r="AB22" s="97">
        <v>258</v>
      </c>
      <c r="AC22" s="97">
        <v>201.9</v>
      </c>
      <c r="AD22" s="97">
        <v>56.1</v>
      </c>
      <c r="AE22" s="191">
        <f t="shared" si="2"/>
        <v>6.2926829268292686</v>
      </c>
    </row>
    <row r="23" spans="1:31" s="94" customFormat="1">
      <c r="A23" s="137">
        <f t="shared" si="3"/>
        <v>17</v>
      </c>
      <c r="B23" s="117" t="s">
        <v>104</v>
      </c>
      <c r="C23" s="117" t="s">
        <v>94</v>
      </c>
      <c r="D23" s="137">
        <v>3</v>
      </c>
      <c r="E23" s="137" t="s">
        <v>21</v>
      </c>
      <c r="F23" s="141">
        <v>12</v>
      </c>
      <c r="G23" s="141">
        <v>0</v>
      </c>
      <c r="H23" s="141">
        <v>0</v>
      </c>
      <c r="I23" s="141">
        <v>0</v>
      </c>
      <c r="J23" s="141">
        <v>57.8</v>
      </c>
      <c r="K23" s="141">
        <v>35.200000000000003</v>
      </c>
      <c r="L23" s="141">
        <v>22.6</v>
      </c>
      <c r="M23" s="141">
        <v>66.5</v>
      </c>
      <c r="N23" s="141">
        <v>40</v>
      </c>
      <c r="O23" s="141">
        <v>26.5</v>
      </c>
      <c r="P23" s="141">
        <f t="shared" si="0"/>
        <v>66.699999999999989</v>
      </c>
      <c r="Q23" s="141">
        <v>38.799999999999997</v>
      </c>
      <c r="R23" s="141">
        <v>27.9</v>
      </c>
      <c r="S23" s="141">
        <f t="shared" si="1"/>
        <v>59.4</v>
      </c>
      <c r="T23" s="141">
        <v>35.5</v>
      </c>
      <c r="U23" s="141">
        <v>23.9</v>
      </c>
      <c r="V23" s="100">
        <v>56.8</v>
      </c>
      <c r="W23" s="100">
        <v>34.700000000000003</v>
      </c>
      <c r="X23" s="100">
        <v>22.1</v>
      </c>
      <c r="Y23" s="103">
        <v>45.6</v>
      </c>
      <c r="Z23" s="103">
        <v>27.8</v>
      </c>
      <c r="AA23" s="103">
        <v>17.8</v>
      </c>
      <c r="AB23" s="97">
        <v>39.6</v>
      </c>
      <c r="AC23" s="97">
        <v>23.8</v>
      </c>
      <c r="AD23" s="97">
        <v>15.8</v>
      </c>
      <c r="AE23" s="191">
        <f t="shared" si="2"/>
        <v>3.3000000000000003</v>
      </c>
    </row>
    <row r="24" spans="1:31" s="94" customFormat="1">
      <c r="A24" s="137">
        <f t="shared" si="3"/>
        <v>18</v>
      </c>
      <c r="B24" s="117" t="s">
        <v>104</v>
      </c>
      <c r="C24" s="117" t="s">
        <v>37</v>
      </c>
      <c r="D24" s="137">
        <v>19</v>
      </c>
      <c r="E24" s="137"/>
      <c r="F24" s="141">
        <v>8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24.3</v>
      </c>
      <c r="N24" s="141">
        <v>24.3</v>
      </c>
      <c r="O24" s="141">
        <v>0</v>
      </c>
      <c r="P24" s="141">
        <f t="shared" si="0"/>
        <v>27.8</v>
      </c>
      <c r="Q24" s="141">
        <v>27.8</v>
      </c>
      <c r="R24" s="141">
        <v>0</v>
      </c>
      <c r="S24" s="141">
        <f t="shared" si="1"/>
        <v>26.9</v>
      </c>
      <c r="T24" s="141">
        <v>26.9</v>
      </c>
      <c r="U24" s="141">
        <v>0</v>
      </c>
      <c r="V24" s="100">
        <v>20.9</v>
      </c>
      <c r="W24" s="100">
        <v>20.9</v>
      </c>
      <c r="X24" s="100">
        <v>0</v>
      </c>
      <c r="Y24" s="103">
        <v>24.3</v>
      </c>
      <c r="Z24" s="103">
        <v>24.3</v>
      </c>
      <c r="AA24" s="103">
        <v>0</v>
      </c>
      <c r="AB24" s="97">
        <v>24.3</v>
      </c>
      <c r="AC24" s="97">
        <v>24.3</v>
      </c>
      <c r="AD24" s="97">
        <v>0</v>
      </c>
      <c r="AE24" s="191">
        <f t="shared" si="2"/>
        <v>3.0375000000000001</v>
      </c>
    </row>
    <row r="25" spans="1:31" s="27" customFormat="1">
      <c r="A25" s="25"/>
      <c r="B25" s="26" t="s">
        <v>8</v>
      </c>
      <c r="C25" s="26"/>
      <c r="D25" s="25"/>
      <c r="E25" s="25"/>
      <c r="F25" s="37">
        <f>SUM(F7:F24)</f>
        <v>418</v>
      </c>
      <c r="G25" s="37">
        <v>5156</v>
      </c>
      <c r="H25" s="37">
        <v>2611.4</v>
      </c>
      <c r="I25" s="37">
        <v>2544.6</v>
      </c>
      <c r="J25" s="37">
        <v>7579</v>
      </c>
      <c r="K25" s="37">
        <v>3206.6</v>
      </c>
      <c r="L25" s="37">
        <v>4372.3999999999996</v>
      </c>
      <c r="M25" s="37">
        <v>7455.3</v>
      </c>
      <c r="N25" s="37">
        <v>3135.2</v>
      </c>
      <c r="O25" s="37">
        <v>4320.1000000000004</v>
      </c>
      <c r="P25" s="37">
        <v>7856.9</v>
      </c>
      <c r="Q25" s="37">
        <v>3281.3</v>
      </c>
      <c r="R25" s="37">
        <v>4575.6000000000004</v>
      </c>
      <c r="S25" s="37">
        <f t="shared" si="1"/>
        <v>8406</v>
      </c>
      <c r="T25" s="37">
        <v>3987.1</v>
      </c>
      <c r="U25" s="37">
        <v>4418.8999999999996</v>
      </c>
      <c r="V25" s="37">
        <f>SUM(V7:V24)</f>
        <v>8704.6999999999989</v>
      </c>
      <c r="W25" s="37">
        <f>SUM(W7:W24)</f>
        <v>3842.2</v>
      </c>
      <c r="X25" s="37">
        <f>SUM(X7:X24)</f>
        <v>4862.5000000000009</v>
      </c>
      <c r="Y25" s="37">
        <f t="shared" ref="Y25:AD25" si="4">SUM(Y7:Y24)</f>
        <v>8485.5</v>
      </c>
      <c r="Z25" s="37">
        <f t="shared" si="4"/>
        <v>3901.2000000000003</v>
      </c>
      <c r="AA25" s="37">
        <f t="shared" si="4"/>
        <v>4584.3000000000011</v>
      </c>
      <c r="AB25" s="37">
        <f>SUM(AB7:AB24)</f>
        <v>8139.7</v>
      </c>
      <c r="AC25" s="37">
        <f t="shared" si="4"/>
        <v>3801.5</v>
      </c>
      <c r="AD25" s="37">
        <f t="shared" si="4"/>
        <v>4338.2000000000007</v>
      </c>
      <c r="AE25" s="141"/>
    </row>
    <row r="26" spans="1:31" s="115" customFormat="1">
      <c r="A26" s="306" t="s">
        <v>120</v>
      </c>
      <c r="B26" s="306"/>
      <c r="C26" s="306"/>
      <c r="D26" s="306"/>
      <c r="E26" s="306"/>
      <c r="F26" s="306"/>
      <c r="G26" s="306"/>
      <c r="H26" s="306"/>
      <c r="I26" s="306"/>
      <c r="J26" s="306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1" s="94" customFormat="1">
      <c r="A27" s="137">
        <v>1</v>
      </c>
      <c r="B27" s="117" t="s">
        <v>104</v>
      </c>
      <c r="C27" s="117" t="s">
        <v>93</v>
      </c>
      <c r="D27" s="137">
        <v>5</v>
      </c>
      <c r="E27" s="137"/>
      <c r="F27" s="137">
        <v>8</v>
      </c>
      <c r="G27" s="137">
        <v>13.5</v>
      </c>
      <c r="H27" s="137">
        <v>13.5</v>
      </c>
      <c r="I27" s="137">
        <v>0</v>
      </c>
      <c r="J27" s="137">
        <v>8.8000000000000007</v>
      </c>
      <c r="K27" s="137">
        <v>8.8000000000000007</v>
      </c>
      <c r="L27" s="137">
        <v>0</v>
      </c>
      <c r="M27" s="137">
        <v>7.8</v>
      </c>
      <c r="N27" s="137">
        <v>7.8</v>
      </c>
      <c r="O27" s="137">
        <v>0</v>
      </c>
      <c r="P27" s="137">
        <f>SUM(Q27:R27)</f>
        <v>7.8</v>
      </c>
      <c r="Q27" s="137">
        <v>7.8</v>
      </c>
      <c r="R27" s="137">
        <v>0</v>
      </c>
      <c r="S27" s="137">
        <f>SUM(T27:U27)</f>
        <v>1.7</v>
      </c>
      <c r="T27" s="137">
        <v>1.7</v>
      </c>
      <c r="U27" s="137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97">
        <v>0</v>
      </c>
      <c r="AC27" s="97">
        <v>0</v>
      </c>
      <c r="AD27" s="97">
        <v>0</v>
      </c>
      <c r="AE27" s="118">
        <f>V27/F27</f>
        <v>0</v>
      </c>
    </row>
    <row r="28" spans="1:31" s="223" customFormat="1">
      <c r="A28" s="137">
        <v>2</v>
      </c>
      <c r="B28" s="137" t="s">
        <v>104</v>
      </c>
      <c r="C28" s="137" t="s">
        <v>94</v>
      </c>
      <c r="D28" s="137">
        <v>3</v>
      </c>
      <c r="E28" s="137"/>
      <c r="F28" s="137">
        <v>12</v>
      </c>
      <c r="G28" s="137">
        <v>0</v>
      </c>
      <c r="H28" s="137">
        <v>0</v>
      </c>
      <c r="I28" s="137">
        <v>0</v>
      </c>
      <c r="J28" s="137">
        <v>60</v>
      </c>
      <c r="K28" s="137">
        <v>41.7</v>
      </c>
      <c r="L28" s="137">
        <v>18.3</v>
      </c>
      <c r="M28" s="137">
        <v>52.4</v>
      </c>
      <c r="N28" s="137">
        <v>38.700000000000003</v>
      </c>
      <c r="O28" s="137">
        <v>13.7</v>
      </c>
      <c r="P28" s="137">
        <f>SUM(Q28:R28)</f>
        <v>61.300000000000004</v>
      </c>
      <c r="Q28" s="137">
        <v>45.7</v>
      </c>
      <c r="R28" s="137">
        <v>15.6</v>
      </c>
      <c r="S28" s="137">
        <f>SUM(T28:U28)</f>
        <v>22.599999999999998</v>
      </c>
      <c r="T28" s="137">
        <v>19.399999999999999</v>
      </c>
      <c r="U28" s="137">
        <v>3.2</v>
      </c>
      <c r="V28" s="103">
        <v>15.4</v>
      </c>
      <c r="W28" s="103">
        <v>14.3</v>
      </c>
      <c r="X28" s="103">
        <v>1.1000000000000001</v>
      </c>
      <c r="Y28" s="103">
        <v>11.6</v>
      </c>
      <c r="Z28" s="103">
        <v>11.6</v>
      </c>
      <c r="AA28" s="103">
        <v>0</v>
      </c>
      <c r="AB28" s="97">
        <v>11.6</v>
      </c>
      <c r="AC28" s="97">
        <v>11.6</v>
      </c>
      <c r="AD28" s="97">
        <v>0</v>
      </c>
      <c r="AE28" s="118">
        <f>AB28/F28</f>
        <v>0.96666666666666667</v>
      </c>
    </row>
    <row r="29" spans="1:31" s="105" customFormat="1">
      <c r="A29" s="103">
        <v>3</v>
      </c>
      <c r="B29" s="97" t="s">
        <v>104</v>
      </c>
      <c r="C29" s="97" t="s">
        <v>37</v>
      </c>
      <c r="D29" s="103">
        <v>22</v>
      </c>
      <c r="E29" s="103"/>
      <c r="F29" s="100">
        <v>12</v>
      </c>
      <c r="G29" s="100">
        <v>0</v>
      </c>
      <c r="H29" s="100">
        <v>0</v>
      </c>
      <c r="I29" s="100">
        <v>0</v>
      </c>
      <c r="J29" s="100">
        <v>34.1</v>
      </c>
      <c r="K29" s="100">
        <v>33.6</v>
      </c>
      <c r="L29" s="100">
        <v>0.5</v>
      </c>
      <c r="M29" s="100">
        <v>35.6</v>
      </c>
      <c r="N29" s="100">
        <v>35.6</v>
      </c>
      <c r="O29" s="100">
        <v>0</v>
      </c>
      <c r="P29" s="100">
        <f>SUM(Q29:R29)</f>
        <v>43.2</v>
      </c>
      <c r="Q29" s="100">
        <v>43.2</v>
      </c>
      <c r="R29" s="100">
        <v>0</v>
      </c>
      <c r="S29" s="100">
        <f>SUM(T29:U29)</f>
        <v>45.1</v>
      </c>
      <c r="T29" s="100">
        <v>44.6</v>
      </c>
      <c r="U29" s="100">
        <v>0.5</v>
      </c>
      <c r="V29" s="100">
        <v>51.2</v>
      </c>
      <c r="W29" s="100">
        <v>50.7</v>
      </c>
      <c r="X29" s="100">
        <v>0.5</v>
      </c>
      <c r="Y29" s="103">
        <v>50.6</v>
      </c>
      <c r="Z29" s="103">
        <v>50.4</v>
      </c>
      <c r="AA29" s="103">
        <v>0.2</v>
      </c>
      <c r="AB29" s="97">
        <v>33.5</v>
      </c>
      <c r="AC29" s="97">
        <v>33.5</v>
      </c>
      <c r="AD29" s="97">
        <v>0</v>
      </c>
      <c r="AE29" s="118">
        <f>AB29/F29</f>
        <v>2.7916666666666665</v>
      </c>
    </row>
    <row r="30" spans="1:31" s="27" customFormat="1">
      <c r="A30" s="26"/>
      <c r="B30" s="26" t="s">
        <v>8</v>
      </c>
      <c r="C30" s="26"/>
      <c r="D30" s="26"/>
      <c r="E30" s="26"/>
      <c r="F30" s="25">
        <f>SUM(F27:F29)</f>
        <v>32</v>
      </c>
      <c r="G30" s="25">
        <f t="shared" ref="G30:T30" si="5">SUM(G27:G28)</f>
        <v>13.5</v>
      </c>
      <c r="H30" s="25">
        <f t="shared" si="5"/>
        <v>13.5</v>
      </c>
      <c r="I30" s="25">
        <f t="shared" si="5"/>
        <v>0</v>
      </c>
      <c r="J30" s="25">
        <f t="shared" si="5"/>
        <v>68.8</v>
      </c>
      <c r="K30" s="25">
        <f t="shared" si="5"/>
        <v>50.5</v>
      </c>
      <c r="L30" s="25">
        <f t="shared" si="5"/>
        <v>18.3</v>
      </c>
      <c r="M30" s="25">
        <f t="shared" si="5"/>
        <v>60.199999999999996</v>
      </c>
      <c r="N30" s="25">
        <f t="shared" si="5"/>
        <v>46.5</v>
      </c>
      <c r="O30" s="25">
        <f t="shared" si="5"/>
        <v>13.7</v>
      </c>
      <c r="P30" s="25">
        <f t="shared" si="5"/>
        <v>69.100000000000009</v>
      </c>
      <c r="Q30" s="25">
        <f t="shared" si="5"/>
        <v>53.5</v>
      </c>
      <c r="R30" s="25">
        <f t="shared" si="5"/>
        <v>15.6</v>
      </c>
      <c r="S30" s="25">
        <f t="shared" si="5"/>
        <v>24.299999999999997</v>
      </c>
      <c r="T30" s="25">
        <f t="shared" si="5"/>
        <v>21.099999999999998</v>
      </c>
      <c r="U30" s="25">
        <f>SUM(U27:U28)</f>
        <v>3.2</v>
      </c>
      <c r="V30" s="25">
        <f t="shared" ref="V30:AA30" si="6">SUM(V27:V28)</f>
        <v>15.4</v>
      </c>
      <c r="W30" s="25">
        <f t="shared" si="6"/>
        <v>14.3</v>
      </c>
      <c r="X30" s="25">
        <f t="shared" si="6"/>
        <v>1.1000000000000001</v>
      </c>
      <c r="Y30" s="25">
        <f t="shared" si="6"/>
        <v>11.6</v>
      </c>
      <c r="Z30" s="25">
        <f t="shared" si="6"/>
        <v>11.6</v>
      </c>
      <c r="AA30" s="25">
        <f t="shared" si="6"/>
        <v>0</v>
      </c>
      <c r="AB30" s="25">
        <f>SUM(AB27:AB29)</f>
        <v>45.1</v>
      </c>
      <c r="AC30" s="25">
        <f t="shared" ref="AC30:AD30" si="7">SUM(AC27:AC29)</f>
        <v>45.1</v>
      </c>
      <c r="AD30" s="25">
        <f t="shared" si="7"/>
        <v>0</v>
      </c>
      <c r="AE30" s="25"/>
    </row>
    <row r="32" spans="1:31" s="87" customFormat="1" ht="12.75">
      <c r="B32" s="88" t="s">
        <v>144</v>
      </c>
    </row>
    <row r="33" spans="2:22" s="87" customFormat="1" ht="60.75" customHeight="1">
      <c r="B33" s="249" t="s">
        <v>151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</row>
  </sheetData>
  <sortState ref="C7:AE24">
    <sortCondition descending="1" ref="AE7:AE24"/>
  </sortState>
  <mergeCells count="36">
    <mergeCell ref="B33:V33"/>
    <mergeCell ref="C2:AD2"/>
    <mergeCell ref="C1:AD1"/>
    <mergeCell ref="A26:J26"/>
    <mergeCell ref="V4:X4"/>
    <mergeCell ref="V5:V6"/>
    <mergeCell ref="W5:X5"/>
    <mergeCell ref="A4:A6"/>
    <mergeCell ref="B4:B6"/>
    <mergeCell ref="C4:E4"/>
    <mergeCell ref="G4:I4"/>
    <mergeCell ref="J4:L4"/>
    <mergeCell ref="C5:C6"/>
    <mergeCell ref="D5:D6"/>
    <mergeCell ref="E5:E6"/>
    <mergeCell ref="F4:F6"/>
    <mergeCell ref="AE4:AE6"/>
    <mergeCell ref="P4:R4"/>
    <mergeCell ref="P5:P6"/>
    <mergeCell ref="Q5:R5"/>
    <mergeCell ref="N5:O5"/>
    <mergeCell ref="S4:U4"/>
    <mergeCell ref="S5:S6"/>
    <mergeCell ref="T5:U5"/>
    <mergeCell ref="Y4:AA4"/>
    <mergeCell ref="Y5:Y6"/>
    <mergeCell ref="AB4:AD4"/>
    <mergeCell ref="AB5:AB6"/>
    <mergeCell ref="AC5:AD5"/>
    <mergeCell ref="M4:O4"/>
    <mergeCell ref="G5:G6"/>
    <mergeCell ref="H5:I5"/>
    <mergeCell ref="J5:J6"/>
    <mergeCell ref="K5:L5"/>
    <mergeCell ref="Z5:AA5"/>
    <mergeCell ref="M5:M6"/>
  </mergeCells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E9"/>
  <sheetViews>
    <sheetView workbookViewId="0">
      <selection activeCell="AH21" sqref="AH21"/>
    </sheetView>
  </sheetViews>
  <sheetFormatPr defaultRowHeight="15" outlineLevelCol="1"/>
  <cols>
    <col min="1" max="1" width="5" customWidth="1"/>
    <col min="2" max="2" width="25.140625" customWidth="1"/>
    <col min="5" max="5" width="8" customWidth="1"/>
    <col min="6" max="6" width="10.85546875" customWidth="1"/>
    <col min="8" max="8" width="9.7109375" customWidth="1"/>
    <col min="10" max="15" width="9.140625" hidden="1" customWidth="1" outlineLevel="1"/>
    <col min="16" max="16" width="11" hidden="1" customWidth="1" outlineLevel="1"/>
    <col min="17" max="17" width="12.140625" hidden="1" customWidth="1" outlineLevel="1"/>
    <col min="18" max="18" width="11.28515625" hidden="1" customWidth="1" outlineLevel="1"/>
    <col min="19" max="27" width="0" hidden="1" customWidth="1" outlineLevel="1"/>
    <col min="28" max="28" width="9.140625" collapsed="1"/>
    <col min="31" max="31" width="11" customWidth="1"/>
  </cols>
  <sheetData>
    <row r="2" spans="1:31">
      <c r="B2" s="250" t="s">
        <v>13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</row>
    <row r="4" spans="1:31">
      <c r="AE4" t="s">
        <v>9</v>
      </c>
    </row>
    <row r="5" spans="1:31" s="94" customFormat="1" ht="29.25" customHeight="1">
      <c r="A5" s="266" t="s">
        <v>0</v>
      </c>
      <c r="B5" s="266" t="s">
        <v>15</v>
      </c>
      <c r="C5" s="266" t="s">
        <v>1</v>
      </c>
      <c r="D5" s="266"/>
      <c r="E5" s="266"/>
      <c r="F5" s="271" t="s">
        <v>80</v>
      </c>
      <c r="G5" s="257" t="s">
        <v>10</v>
      </c>
      <c r="H5" s="257"/>
      <c r="I5" s="257"/>
      <c r="J5" s="257" t="s">
        <v>11</v>
      </c>
      <c r="K5" s="257"/>
      <c r="L5" s="257"/>
      <c r="M5" s="257" t="s">
        <v>12</v>
      </c>
      <c r="N5" s="257"/>
      <c r="O5" s="257"/>
      <c r="P5" s="310" t="s">
        <v>41</v>
      </c>
      <c r="Q5" s="310"/>
      <c r="R5" s="310"/>
      <c r="S5" s="310" t="s">
        <v>110</v>
      </c>
      <c r="T5" s="310"/>
      <c r="U5" s="310"/>
      <c r="V5" s="310" t="s">
        <v>121</v>
      </c>
      <c r="W5" s="310"/>
      <c r="X5" s="310"/>
      <c r="Y5" s="310" t="s">
        <v>141</v>
      </c>
      <c r="Z5" s="310"/>
      <c r="AA5" s="310"/>
      <c r="AB5" s="310" t="s">
        <v>142</v>
      </c>
      <c r="AC5" s="310"/>
      <c r="AD5" s="310"/>
      <c r="AE5" s="274" t="s">
        <v>109</v>
      </c>
    </row>
    <row r="6" spans="1:31" s="94" customFormat="1">
      <c r="A6" s="266"/>
      <c r="B6" s="266"/>
      <c r="C6" s="266" t="s">
        <v>2</v>
      </c>
      <c r="D6" s="266" t="s">
        <v>3</v>
      </c>
      <c r="E6" s="266" t="s">
        <v>4</v>
      </c>
      <c r="F6" s="272"/>
      <c r="G6" s="258" t="s">
        <v>5</v>
      </c>
      <c r="H6" s="267" t="s">
        <v>14</v>
      </c>
      <c r="I6" s="268"/>
      <c r="J6" s="258" t="s">
        <v>5</v>
      </c>
      <c r="K6" s="267" t="s">
        <v>14</v>
      </c>
      <c r="L6" s="268"/>
      <c r="M6" s="258" t="s">
        <v>5</v>
      </c>
      <c r="N6" s="267" t="s">
        <v>14</v>
      </c>
      <c r="O6" s="268"/>
      <c r="P6" s="258" t="s">
        <v>5</v>
      </c>
      <c r="Q6" s="267" t="s">
        <v>14</v>
      </c>
      <c r="R6" s="268"/>
      <c r="S6" s="258" t="s">
        <v>5</v>
      </c>
      <c r="T6" s="267" t="s">
        <v>14</v>
      </c>
      <c r="U6" s="268"/>
      <c r="V6" s="258" t="s">
        <v>5</v>
      </c>
      <c r="W6" s="267" t="s">
        <v>14</v>
      </c>
      <c r="X6" s="268"/>
      <c r="Y6" s="258" t="s">
        <v>5</v>
      </c>
      <c r="Z6" s="267" t="s">
        <v>14</v>
      </c>
      <c r="AA6" s="268"/>
      <c r="AB6" s="258" t="s">
        <v>5</v>
      </c>
      <c r="AC6" s="267" t="s">
        <v>14</v>
      </c>
      <c r="AD6" s="268"/>
      <c r="AE6" s="275"/>
    </row>
    <row r="7" spans="1:31" s="94" customFormat="1" ht="60">
      <c r="A7" s="271"/>
      <c r="B7" s="271"/>
      <c r="C7" s="271"/>
      <c r="D7" s="271"/>
      <c r="E7" s="271"/>
      <c r="F7" s="272"/>
      <c r="G7" s="311"/>
      <c r="H7" s="227" t="s">
        <v>6</v>
      </c>
      <c r="I7" s="227" t="s">
        <v>7</v>
      </c>
      <c r="J7" s="311"/>
      <c r="K7" s="227" t="s">
        <v>6</v>
      </c>
      <c r="L7" s="227" t="s">
        <v>7</v>
      </c>
      <c r="M7" s="311"/>
      <c r="N7" s="227" t="s">
        <v>6</v>
      </c>
      <c r="O7" s="227" t="s">
        <v>7</v>
      </c>
      <c r="P7" s="311"/>
      <c r="Q7" s="152" t="s">
        <v>6</v>
      </c>
      <c r="R7" s="152" t="s">
        <v>7</v>
      </c>
      <c r="S7" s="311"/>
      <c r="T7" s="152" t="s">
        <v>6</v>
      </c>
      <c r="U7" s="152" t="s">
        <v>7</v>
      </c>
      <c r="V7" s="311"/>
      <c r="W7" s="152" t="s">
        <v>6</v>
      </c>
      <c r="X7" s="152" t="s">
        <v>7</v>
      </c>
      <c r="Y7" s="311"/>
      <c r="Z7" s="152" t="s">
        <v>6</v>
      </c>
      <c r="AA7" s="152" t="s">
        <v>7</v>
      </c>
      <c r="AB7" s="311"/>
      <c r="AC7" s="152" t="s">
        <v>6</v>
      </c>
      <c r="AD7" s="152" t="s">
        <v>7</v>
      </c>
      <c r="AE7" s="275"/>
    </row>
    <row r="8" spans="1:31" s="94" customFormat="1">
      <c r="A8" s="103">
        <v>1</v>
      </c>
      <c r="B8" s="226" t="s">
        <v>117</v>
      </c>
      <c r="C8" s="226" t="s">
        <v>19</v>
      </c>
      <c r="D8" s="100">
        <v>39</v>
      </c>
      <c r="E8" s="117"/>
      <c r="F8" s="141">
        <v>75</v>
      </c>
      <c r="G8" s="191">
        <f>SUM(H8:I8)</f>
        <v>691</v>
      </c>
      <c r="H8" s="48">
        <v>333</v>
      </c>
      <c r="I8" s="48">
        <v>358</v>
      </c>
      <c r="J8" s="109">
        <f>SUM(K8:L8)</f>
        <v>767.3</v>
      </c>
      <c r="K8" s="109">
        <v>408.5</v>
      </c>
      <c r="L8" s="109">
        <v>358.8</v>
      </c>
      <c r="M8" s="191">
        <f>SUM(N8:O8)</f>
        <v>597.59999999999854</v>
      </c>
      <c r="N8" s="191">
        <f>'[4]июль-1'!$Y$9</f>
        <v>361.49999999999909</v>
      </c>
      <c r="O8" s="191">
        <f>'[4]июль-1'!$Z$9</f>
        <v>236.09999999999945</v>
      </c>
      <c r="P8" s="109">
        <f>SUM(Q8:R8)</f>
        <v>595.59999999999854</v>
      </c>
      <c r="Q8" s="109">
        <f>'[4]ав-1'!$Y$9</f>
        <v>371.69999999999891</v>
      </c>
      <c r="R8" s="109">
        <f>'[4]ав-1'!$Z$9</f>
        <v>223.89999999999964</v>
      </c>
      <c r="S8" s="109">
        <f>T8+U8</f>
        <v>682.29999999999836</v>
      </c>
      <c r="T8" s="109">
        <f>'[4]С-1'!$Y$9</f>
        <v>386.599999999999</v>
      </c>
      <c r="U8" s="109">
        <f>'[4]С-1'!$Z$9</f>
        <v>295.69999999999936</v>
      </c>
      <c r="V8" s="109">
        <f>SUM(W8:X8)</f>
        <v>747.39999999999873</v>
      </c>
      <c r="W8" s="109">
        <f>'[4]О-1'!$Y$9</f>
        <v>387.49999999999909</v>
      </c>
      <c r="X8" s="109">
        <f>'[4]О-1'!$Z$9</f>
        <v>359.89999999999964</v>
      </c>
      <c r="Y8" s="109">
        <f>Z8+AA8</f>
        <v>842.79999999999836</v>
      </c>
      <c r="Z8" s="109">
        <f>'[4]Н-1 '!$Y$9</f>
        <v>406.29999999999882</v>
      </c>
      <c r="AA8" s="109">
        <f>'[4]Н-1 '!$Z$9</f>
        <v>436.49999999999955</v>
      </c>
      <c r="AB8" s="109">
        <f>AC8+AD8</f>
        <v>805.29999999999836</v>
      </c>
      <c r="AC8" s="109">
        <f>'[4]Д-1 '!$Y$9</f>
        <v>402.19999999999891</v>
      </c>
      <c r="AD8" s="109">
        <f>'[4]Д-1 '!$Z$9</f>
        <v>403.09999999999945</v>
      </c>
      <c r="AE8" s="109">
        <f>AB8/F8</f>
        <v>10.737333333333311</v>
      </c>
    </row>
    <row r="9" spans="1:31" s="79" customFormat="1">
      <c r="A9" s="37"/>
      <c r="B9" s="56" t="s">
        <v>8</v>
      </c>
      <c r="C9" s="37"/>
      <c r="D9" s="37"/>
      <c r="E9" s="37"/>
      <c r="F9" s="37">
        <f>SUM(F8)</f>
        <v>75</v>
      </c>
      <c r="G9" s="57">
        <f>G8</f>
        <v>691</v>
      </c>
      <c r="H9" s="57">
        <f t="shared" ref="H9:U9" si="0">H8</f>
        <v>333</v>
      </c>
      <c r="I9" s="57">
        <f t="shared" si="0"/>
        <v>358</v>
      </c>
      <c r="J9" s="57">
        <f t="shared" si="0"/>
        <v>767.3</v>
      </c>
      <c r="K9" s="57">
        <f t="shared" si="0"/>
        <v>408.5</v>
      </c>
      <c r="L9" s="57">
        <f t="shared" si="0"/>
        <v>358.8</v>
      </c>
      <c r="M9" s="57">
        <f t="shared" si="0"/>
        <v>597.59999999999854</v>
      </c>
      <c r="N9" s="57">
        <f t="shared" si="0"/>
        <v>361.49999999999909</v>
      </c>
      <c r="O9" s="57">
        <f t="shared" si="0"/>
        <v>236.09999999999945</v>
      </c>
      <c r="P9" s="57">
        <f t="shared" si="0"/>
        <v>595.59999999999854</v>
      </c>
      <c r="Q9" s="57">
        <f t="shared" si="0"/>
        <v>371.69999999999891</v>
      </c>
      <c r="R9" s="57">
        <f t="shared" si="0"/>
        <v>223.89999999999964</v>
      </c>
      <c r="S9" s="57">
        <f t="shared" si="0"/>
        <v>682.29999999999836</v>
      </c>
      <c r="T9" s="57">
        <f t="shared" si="0"/>
        <v>386.599999999999</v>
      </c>
      <c r="U9" s="57">
        <f t="shared" si="0"/>
        <v>295.69999999999936</v>
      </c>
      <c r="V9" s="57">
        <f>SUM(V8)</f>
        <v>747.39999999999873</v>
      </c>
      <c r="W9" s="57">
        <f t="shared" ref="W9:AD9" si="1">SUM(W8)</f>
        <v>387.49999999999909</v>
      </c>
      <c r="X9" s="57">
        <f t="shared" si="1"/>
        <v>359.89999999999964</v>
      </c>
      <c r="Y9" s="57">
        <f t="shared" si="1"/>
        <v>842.79999999999836</v>
      </c>
      <c r="Z9" s="57">
        <f t="shared" si="1"/>
        <v>406.29999999999882</v>
      </c>
      <c r="AA9" s="57">
        <f t="shared" si="1"/>
        <v>436.49999999999955</v>
      </c>
      <c r="AB9" s="57">
        <f t="shared" si="1"/>
        <v>805.29999999999836</v>
      </c>
      <c r="AC9" s="57">
        <f t="shared" si="1"/>
        <v>402.19999999999891</v>
      </c>
      <c r="AD9" s="57">
        <f t="shared" si="1"/>
        <v>403.09999999999945</v>
      </c>
      <c r="AE9" s="37"/>
    </row>
  </sheetData>
  <mergeCells count="33">
    <mergeCell ref="V5:X5"/>
    <mergeCell ref="V6:V7"/>
    <mergeCell ref="W6:X6"/>
    <mergeCell ref="B2:AE2"/>
    <mergeCell ref="A5:A7"/>
    <mergeCell ref="B5:B7"/>
    <mergeCell ref="C5:E5"/>
    <mergeCell ref="F5:F7"/>
    <mergeCell ref="G5:I5"/>
    <mergeCell ref="J5:L5"/>
    <mergeCell ref="M5:O5"/>
    <mergeCell ref="P5:R5"/>
    <mergeCell ref="AE5:AE7"/>
    <mergeCell ref="S5:U5"/>
    <mergeCell ref="S6:S7"/>
    <mergeCell ref="T6:U6"/>
    <mergeCell ref="C6:C7"/>
    <mergeCell ref="D6:D7"/>
    <mergeCell ref="E6:E7"/>
    <mergeCell ref="N6:O6"/>
    <mergeCell ref="P6:P7"/>
    <mergeCell ref="Q6:R6"/>
    <mergeCell ref="G6:G7"/>
    <mergeCell ref="H6:I6"/>
    <mergeCell ref="J6:J7"/>
    <mergeCell ref="K6:L6"/>
    <mergeCell ref="M6:M7"/>
    <mergeCell ref="Y5:AA5"/>
    <mergeCell ref="Y6:Y7"/>
    <mergeCell ref="Z6:AA6"/>
    <mergeCell ref="AB5:AD5"/>
    <mergeCell ref="AB6:AB7"/>
    <mergeCell ref="AC6:AD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79"/>
  <sheetViews>
    <sheetView workbookViewId="0">
      <pane xSplit="6" ySplit="5" topLeftCell="G63" activePane="bottomRight" state="frozen"/>
      <selection pane="topRight" activeCell="G1" sqref="G1"/>
      <selection pane="bottomLeft" activeCell="A6" sqref="A6"/>
      <selection pane="bottomRight" activeCell="AG83" sqref="AG83"/>
    </sheetView>
  </sheetViews>
  <sheetFormatPr defaultRowHeight="15" outlineLevelCol="1"/>
  <cols>
    <col min="1" max="1" width="5" customWidth="1"/>
    <col min="2" max="2" width="21.85546875" customWidth="1"/>
    <col min="3" max="3" width="16.7109375" customWidth="1"/>
    <col min="4" max="4" width="10.85546875" customWidth="1"/>
    <col min="5" max="7" width="9.85546875" customWidth="1"/>
    <col min="8" max="8" width="11.42578125" customWidth="1"/>
    <col min="9" max="9" width="12.140625" customWidth="1"/>
    <col min="10" max="10" width="12.42578125" hidden="1" customWidth="1" outlineLevel="1"/>
    <col min="11" max="11" width="11.28515625" hidden="1" customWidth="1" outlineLevel="1"/>
    <col min="12" max="12" width="11.85546875" hidden="1" customWidth="1" outlineLevel="1"/>
    <col min="13" max="13" width="12.140625" hidden="1" customWidth="1" outlineLevel="1"/>
    <col min="14" max="14" width="11.140625" hidden="1" customWidth="1" outlineLevel="1"/>
    <col min="15" max="15" width="12.85546875" hidden="1" customWidth="1" outlineLevel="1"/>
    <col min="16" max="16" width="13.140625" hidden="1" customWidth="1" outlineLevel="1"/>
    <col min="17" max="17" width="11.85546875" hidden="1" customWidth="1" outlineLevel="1"/>
    <col min="18" max="18" width="11.140625" hidden="1" customWidth="1" outlineLevel="1"/>
    <col min="19" max="20" width="12.42578125" hidden="1" customWidth="1" outlineLevel="1"/>
    <col min="21" max="27" width="12.140625" hidden="1" customWidth="1" outlineLevel="1"/>
    <col min="28" max="28" width="12.140625" customWidth="1" collapsed="1"/>
    <col min="29" max="30" width="12.140625" customWidth="1"/>
    <col min="31" max="31" width="9.7109375" customWidth="1"/>
  </cols>
  <sheetData>
    <row r="1" spans="1:31">
      <c r="C1" s="250" t="s">
        <v>13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31">
      <c r="O2" s="3"/>
      <c r="AE2" s="64" t="s">
        <v>9</v>
      </c>
    </row>
    <row r="3" spans="1:31" s="94" customFormat="1" ht="35.25" customHeight="1">
      <c r="A3" s="266" t="s">
        <v>0</v>
      </c>
      <c r="B3" s="266" t="s">
        <v>15</v>
      </c>
      <c r="C3" s="266" t="s">
        <v>1</v>
      </c>
      <c r="D3" s="266"/>
      <c r="E3" s="266"/>
      <c r="F3" s="271" t="s">
        <v>80</v>
      </c>
      <c r="G3" s="257" t="s">
        <v>10</v>
      </c>
      <c r="H3" s="257"/>
      <c r="I3" s="257"/>
      <c r="J3" s="257" t="s">
        <v>11</v>
      </c>
      <c r="K3" s="257"/>
      <c r="L3" s="257"/>
      <c r="M3" s="257" t="s">
        <v>12</v>
      </c>
      <c r="N3" s="257"/>
      <c r="O3" s="257"/>
      <c r="P3" s="257" t="s">
        <v>41</v>
      </c>
      <c r="Q3" s="257"/>
      <c r="R3" s="257"/>
      <c r="S3" s="257" t="s">
        <v>110</v>
      </c>
      <c r="T3" s="257"/>
      <c r="U3" s="257"/>
      <c r="V3" s="257" t="s">
        <v>121</v>
      </c>
      <c r="W3" s="257"/>
      <c r="X3" s="257"/>
      <c r="Y3" s="317" t="s">
        <v>141</v>
      </c>
      <c r="Z3" s="257"/>
      <c r="AA3" s="257"/>
      <c r="AB3" s="317" t="s">
        <v>142</v>
      </c>
      <c r="AC3" s="257"/>
      <c r="AD3" s="257"/>
      <c r="AE3" s="274" t="s">
        <v>109</v>
      </c>
    </row>
    <row r="4" spans="1:31" s="94" customFormat="1">
      <c r="A4" s="266"/>
      <c r="B4" s="266"/>
      <c r="C4" s="266" t="s">
        <v>2</v>
      </c>
      <c r="D4" s="266" t="s">
        <v>3</v>
      </c>
      <c r="E4" s="266" t="s">
        <v>4</v>
      </c>
      <c r="F4" s="272"/>
      <c r="G4" s="258" t="s">
        <v>5</v>
      </c>
      <c r="H4" s="267" t="s">
        <v>14</v>
      </c>
      <c r="I4" s="268"/>
      <c r="J4" s="258" t="s">
        <v>5</v>
      </c>
      <c r="K4" s="267" t="s">
        <v>14</v>
      </c>
      <c r="L4" s="268"/>
      <c r="M4" s="258" t="s">
        <v>5</v>
      </c>
      <c r="N4" s="267" t="s">
        <v>14</v>
      </c>
      <c r="O4" s="268"/>
      <c r="P4" s="258" t="s">
        <v>5</v>
      </c>
      <c r="Q4" s="267" t="s">
        <v>14</v>
      </c>
      <c r="R4" s="268"/>
      <c r="S4" s="258" t="s">
        <v>5</v>
      </c>
      <c r="T4" s="267" t="s">
        <v>14</v>
      </c>
      <c r="U4" s="268"/>
      <c r="V4" s="258" t="s">
        <v>5</v>
      </c>
      <c r="W4" s="267" t="s">
        <v>14</v>
      </c>
      <c r="X4" s="268"/>
      <c r="Y4" s="258" t="s">
        <v>5</v>
      </c>
      <c r="Z4" s="267" t="s">
        <v>14</v>
      </c>
      <c r="AA4" s="268"/>
      <c r="AB4" s="258" t="s">
        <v>5</v>
      </c>
      <c r="AC4" s="267" t="s">
        <v>14</v>
      </c>
      <c r="AD4" s="268"/>
      <c r="AE4" s="275"/>
    </row>
    <row r="5" spans="1:31" s="94" customFormat="1" ht="60">
      <c r="A5" s="266"/>
      <c r="B5" s="266"/>
      <c r="C5" s="266"/>
      <c r="D5" s="266"/>
      <c r="E5" s="266"/>
      <c r="F5" s="273"/>
      <c r="G5" s="258"/>
      <c r="H5" s="152" t="s">
        <v>6</v>
      </c>
      <c r="I5" s="152" t="s">
        <v>7</v>
      </c>
      <c r="J5" s="258"/>
      <c r="K5" s="152" t="s">
        <v>6</v>
      </c>
      <c r="L5" s="152" t="s">
        <v>7</v>
      </c>
      <c r="M5" s="258"/>
      <c r="N5" s="152" t="s">
        <v>6</v>
      </c>
      <c r="O5" s="152" t="s">
        <v>7</v>
      </c>
      <c r="P5" s="258"/>
      <c r="Q5" s="152" t="s">
        <v>6</v>
      </c>
      <c r="R5" s="152" t="s">
        <v>7</v>
      </c>
      <c r="S5" s="258"/>
      <c r="T5" s="152" t="s">
        <v>6</v>
      </c>
      <c r="U5" s="152" t="s">
        <v>7</v>
      </c>
      <c r="V5" s="258"/>
      <c r="W5" s="152" t="s">
        <v>6</v>
      </c>
      <c r="X5" s="152" t="s">
        <v>7</v>
      </c>
      <c r="Y5" s="258"/>
      <c r="Z5" s="152" t="s">
        <v>6</v>
      </c>
      <c r="AA5" s="152" t="s">
        <v>7</v>
      </c>
      <c r="AB5" s="258"/>
      <c r="AC5" s="152" t="s">
        <v>6</v>
      </c>
      <c r="AD5" s="152" t="s">
        <v>7</v>
      </c>
      <c r="AE5" s="276"/>
    </row>
    <row r="6" spans="1:31" s="94" customFormat="1">
      <c r="A6" s="99">
        <v>1</v>
      </c>
      <c r="B6" s="99" t="s">
        <v>124</v>
      </c>
      <c r="C6" s="322" t="s">
        <v>129</v>
      </c>
      <c r="D6" s="323">
        <v>4</v>
      </c>
      <c r="E6" s="323"/>
      <c r="F6" s="323">
        <f>'[5]Реестр УК новый'!$G$338</f>
        <v>35</v>
      </c>
      <c r="G6" s="101">
        <f>123112.7/1000</f>
        <v>123.1127</v>
      </c>
      <c r="H6" s="102">
        <f>59371.12/1000</f>
        <v>59.371120000000005</v>
      </c>
      <c r="I6" s="102">
        <f>63741.58/1000</f>
        <v>63.741579999999999</v>
      </c>
      <c r="J6" s="118">
        <f>K6+L6</f>
        <v>449.92348000000004</v>
      </c>
      <c r="K6" s="102">
        <f>173950.35/1000</f>
        <v>173.95035000000001</v>
      </c>
      <c r="L6" s="102">
        <f>275973.13/1000</f>
        <v>275.97313000000003</v>
      </c>
      <c r="M6" s="118">
        <f>N6+O6</f>
        <v>465.27455000000003</v>
      </c>
      <c r="N6" s="102">
        <f>201815.6/1000</f>
        <v>201.81560000000002</v>
      </c>
      <c r="O6" s="102">
        <f>263458.95/1000</f>
        <v>263.45895000000002</v>
      </c>
      <c r="P6" s="118">
        <f>Q6+R6</f>
        <v>546.75403000000006</v>
      </c>
      <c r="Q6" s="102">
        <f>228640.17/1000</f>
        <v>228.64017000000001</v>
      </c>
      <c r="R6" s="102">
        <f>318113.86/1000</f>
        <v>318.11385999999999</v>
      </c>
      <c r="S6" s="118">
        <f>T6+U6</f>
        <v>704.26917000000003</v>
      </c>
      <c r="T6" s="102">
        <f>255966.4/1000</f>
        <v>255.96639999999999</v>
      </c>
      <c r="U6" s="102">
        <f>448302.77/1000</f>
        <v>448.30277000000001</v>
      </c>
      <c r="V6" s="101">
        <f>W6+X6</f>
        <v>766.62799999999993</v>
      </c>
      <c r="W6" s="102">
        <f>269968.04/1000</f>
        <v>269.96803999999997</v>
      </c>
      <c r="X6" s="102">
        <f>496659.96/1000</f>
        <v>496.65996000000001</v>
      </c>
      <c r="Y6" s="318">
        <f>Z6+AA6</f>
        <v>772.93000000000006</v>
      </c>
      <c r="Z6" s="318">
        <v>270.97000000000003</v>
      </c>
      <c r="AA6" s="318">
        <v>501.96</v>
      </c>
      <c r="AB6" s="318">
        <f>AC6+AD6</f>
        <v>768.8</v>
      </c>
      <c r="AC6" s="318">
        <v>269.91000000000003</v>
      </c>
      <c r="AD6" s="318">
        <v>498.89</v>
      </c>
      <c r="AE6" s="225">
        <f>AB6/F6</f>
        <v>21.965714285714284</v>
      </c>
    </row>
    <row r="7" spans="1:31" s="94" customFormat="1">
      <c r="A7" s="99">
        <f>A6+1</f>
        <v>2</v>
      </c>
      <c r="B7" s="99" t="s">
        <v>124</v>
      </c>
      <c r="C7" s="228" t="s">
        <v>51</v>
      </c>
      <c r="D7" s="229">
        <v>4</v>
      </c>
      <c r="E7" s="230"/>
      <c r="F7" s="230">
        <f>'[5]Реестр УК новый'!$G$170</f>
        <v>12</v>
      </c>
      <c r="G7" s="101"/>
      <c r="H7" s="102"/>
      <c r="I7" s="102"/>
      <c r="J7" s="118">
        <f>K7+L7</f>
        <v>126.59264000000002</v>
      </c>
      <c r="K7" s="102">
        <f>34453.87/1000</f>
        <v>34.453870000000002</v>
      </c>
      <c r="L7" s="102">
        <f>92138.77/1000</f>
        <v>92.138770000000008</v>
      </c>
      <c r="M7" s="118">
        <f>N7+O7</f>
        <v>125.64078000000001</v>
      </c>
      <c r="N7" s="102">
        <f>46268.32/1000</f>
        <v>46.268320000000003</v>
      </c>
      <c r="O7" s="102">
        <f>79372.46/1000</f>
        <v>79.372460000000004</v>
      </c>
      <c r="P7" s="118">
        <f>Q7+R7</f>
        <v>145.49911</v>
      </c>
      <c r="Q7" s="102">
        <f>56696.8/1000</f>
        <v>56.696800000000003</v>
      </c>
      <c r="R7" s="102">
        <f>88802.31/1000</f>
        <v>88.802309999999991</v>
      </c>
      <c r="S7" s="118">
        <f>T7+U7</f>
        <v>242.47098</v>
      </c>
      <c r="T7" s="102">
        <f>85470.64/1000</f>
        <v>85.470640000000003</v>
      </c>
      <c r="U7" s="102">
        <f>157000.34/1000</f>
        <v>157.00033999999999</v>
      </c>
      <c r="V7" s="101">
        <f>W7+X7</f>
        <v>228.98568</v>
      </c>
      <c r="W7" s="102">
        <f>78799.57/1000</f>
        <v>78.799570000000003</v>
      </c>
      <c r="X7" s="102">
        <f>150186.11/1000</f>
        <v>150.18610999999999</v>
      </c>
      <c r="Y7" s="318">
        <f>Z7+AA7</f>
        <v>261.05</v>
      </c>
      <c r="Z7" s="318">
        <v>82.93</v>
      </c>
      <c r="AA7" s="318">
        <v>178.12</v>
      </c>
      <c r="AB7" s="318">
        <f>AC7+AD7</f>
        <v>243.68</v>
      </c>
      <c r="AC7" s="318">
        <v>78.36</v>
      </c>
      <c r="AD7" s="318">
        <v>165.32</v>
      </c>
      <c r="AE7" s="191">
        <f>AB7/F7</f>
        <v>20.306666666666668</v>
      </c>
    </row>
    <row r="8" spans="1:31" s="94" customFormat="1">
      <c r="A8" s="99">
        <f t="shared" ref="A8:A71" si="0">A7+1</f>
        <v>3</v>
      </c>
      <c r="B8" s="99" t="s">
        <v>124</v>
      </c>
      <c r="C8" s="231" t="s">
        <v>98</v>
      </c>
      <c r="D8" s="230">
        <v>16</v>
      </c>
      <c r="E8" s="230"/>
      <c r="F8" s="230">
        <f>'[5]Реестр УК новый'!$G$357</f>
        <v>12</v>
      </c>
      <c r="G8" s="101"/>
      <c r="H8" s="102"/>
      <c r="I8" s="102"/>
      <c r="J8" s="118">
        <f>K8+L8</f>
        <v>182.02922000000001</v>
      </c>
      <c r="K8" s="102">
        <f>102014.7/1000</f>
        <v>102.01469999999999</v>
      </c>
      <c r="L8" s="102">
        <f>80014.52/1000</f>
        <v>80.014520000000005</v>
      </c>
      <c r="M8" s="118">
        <f>N8+O8</f>
        <v>183.89121</v>
      </c>
      <c r="N8" s="102">
        <f>121814.38/1000</f>
        <v>121.81438</v>
      </c>
      <c r="O8" s="102">
        <f>62076.83/1000</f>
        <v>62.076830000000001</v>
      </c>
      <c r="P8" s="118">
        <f>Q8+R8</f>
        <v>125.34903</v>
      </c>
      <c r="Q8" s="102">
        <f>77671.07/1000</f>
        <v>77.67107</v>
      </c>
      <c r="R8" s="102">
        <f>47677.96/1000</f>
        <v>47.677959999999999</v>
      </c>
      <c r="S8" s="118">
        <f>T8+U8</f>
        <v>179.16640999999998</v>
      </c>
      <c r="T8" s="102">
        <f>82403.26/1000</f>
        <v>82.403259999999989</v>
      </c>
      <c r="U8" s="102">
        <f>96763.15/1000</f>
        <v>96.763149999999996</v>
      </c>
      <c r="V8" s="101">
        <f>W8+X8</f>
        <v>189.33947000000001</v>
      </c>
      <c r="W8" s="102">
        <f>91479.22/1000</f>
        <v>91.479219999999998</v>
      </c>
      <c r="X8" s="102">
        <f>97860.25/1000</f>
        <v>97.860249999999994</v>
      </c>
      <c r="Y8" s="318">
        <f>Z8+AA8</f>
        <v>194.34</v>
      </c>
      <c r="Z8" s="318">
        <v>95.48</v>
      </c>
      <c r="AA8" s="318">
        <v>98.86</v>
      </c>
      <c r="AB8" s="318">
        <f>AC8+AD8</f>
        <v>193.52</v>
      </c>
      <c r="AC8" s="318">
        <v>96.84</v>
      </c>
      <c r="AD8" s="318">
        <v>96.68</v>
      </c>
      <c r="AE8" s="191">
        <f>AB8/F8</f>
        <v>16.126666666666669</v>
      </c>
    </row>
    <row r="9" spans="1:31" s="105" customFormat="1">
      <c r="A9" s="99">
        <f t="shared" si="0"/>
        <v>4</v>
      </c>
      <c r="B9" s="99" t="s">
        <v>124</v>
      </c>
      <c r="C9" s="231" t="s">
        <v>38</v>
      </c>
      <c r="D9" s="230">
        <v>8</v>
      </c>
      <c r="E9" s="230"/>
      <c r="F9" s="230">
        <f>'[5]Реестр УК новый'!$G$242</f>
        <v>8</v>
      </c>
      <c r="G9" s="101"/>
      <c r="H9" s="102"/>
      <c r="I9" s="102"/>
      <c r="J9" s="118"/>
      <c r="K9" s="102"/>
      <c r="L9" s="102"/>
      <c r="M9" s="118"/>
      <c r="N9" s="102"/>
      <c r="O9" s="102"/>
      <c r="P9" s="118"/>
      <c r="Q9" s="102"/>
      <c r="R9" s="102"/>
      <c r="S9" s="118">
        <f>T9+U9</f>
        <v>82.776340000000005</v>
      </c>
      <c r="T9" s="102">
        <f>33379.27/1000</f>
        <v>33.379269999999998</v>
      </c>
      <c r="U9" s="102">
        <f>49397.07/1000</f>
        <v>49.397069999999999</v>
      </c>
      <c r="V9" s="101">
        <f>W9+X9</f>
        <v>114.70056</v>
      </c>
      <c r="W9" s="102">
        <f>58915.25/1000</f>
        <v>58.91525</v>
      </c>
      <c r="X9" s="102">
        <f>55785.31/1000</f>
        <v>55.785309999999996</v>
      </c>
      <c r="Y9" s="318">
        <f>Z9+AA9</f>
        <v>123</v>
      </c>
      <c r="Z9" s="318">
        <v>58.92</v>
      </c>
      <c r="AA9" s="318">
        <v>64.08</v>
      </c>
      <c r="AB9" s="318">
        <f>AC9+AD9</f>
        <v>117.77000000000001</v>
      </c>
      <c r="AC9" s="318">
        <v>56.25</v>
      </c>
      <c r="AD9" s="318">
        <v>61.52</v>
      </c>
      <c r="AE9" s="191">
        <f>AB9/F9</f>
        <v>14.721250000000001</v>
      </c>
    </row>
    <row r="10" spans="1:31" s="105" customFormat="1">
      <c r="A10" s="99">
        <f t="shared" si="0"/>
        <v>5</v>
      </c>
      <c r="B10" s="99" t="s">
        <v>124</v>
      </c>
      <c r="C10" s="228" t="s">
        <v>85</v>
      </c>
      <c r="D10" s="229">
        <v>5</v>
      </c>
      <c r="E10" s="230"/>
      <c r="F10" s="230">
        <f>'[5]Реестр УК новый'!$G$104</f>
        <v>12</v>
      </c>
      <c r="G10" s="101"/>
      <c r="H10" s="102"/>
      <c r="I10" s="102"/>
      <c r="J10" s="118">
        <f>K10+L10</f>
        <v>101.39164</v>
      </c>
      <c r="K10" s="102">
        <f>55699.2/1000</f>
        <v>55.699199999999998</v>
      </c>
      <c r="L10" s="102">
        <f>45692.44/1000</f>
        <v>45.692440000000005</v>
      </c>
      <c r="M10" s="118">
        <f>N10+O10</f>
        <v>74.447090000000003</v>
      </c>
      <c r="N10" s="102">
        <f>58098.08/1000</f>
        <v>58.098080000000003</v>
      </c>
      <c r="O10" s="102">
        <f>16349.01/1000</f>
        <v>16.34901</v>
      </c>
      <c r="P10" s="118">
        <f>Q10+R10</f>
        <v>110.59660000000001</v>
      </c>
      <c r="Q10" s="102">
        <f>83084.46/1000</f>
        <v>83.084460000000007</v>
      </c>
      <c r="R10" s="102">
        <f>27512.14/1000</f>
        <v>27.512139999999999</v>
      </c>
      <c r="S10" s="118">
        <f>T10+U10</f>
        <v>169.38857000000002</v>
      </c>
      <c r="T10" s="102">
        <f>92933.77/1000</f>
        <v>92.93377000000001</v>
      </c>
      <c r="U10" s="102">
        <f>76454.8/1000</f>
        <v>76.454800000000006</v>
      </c>
      <c r="V10" s="101">
        <f>W10+X10</f>
        <v>179.42502999999999</v>
      </c>
      <c r="W10" s="102">
        <f>99036.1/1000</f>
        <v>99.036100000000005</v>
      </c>
      <c r="X10" s="102">
        <f>80388.93/1000</f>
        <v>80.388929999999988</v>
      </c>
      <c r="Y10" s="318">
        <f>Z10+AA10</f>
        <v>173.53</v>
      </c>
      <c r="Z10" s="318">
        <v>95.04</v>
      </c>
      <c r="AA10" s="318">
        <v>78.489999999999995</v>
      </c>
      <c r="AB10" s="318">
        <f>AC10+AD10</f>
        <v>170.23000000000002</v>
      </c>
      <c r="AC10" s="318">
        <v>96</v>
      </c>
      <c r="AD10" s="318">
        <v>74.23</v>
      </c>
      <c r="AE10" s="191">
        <f>AB10/F10</f>
        <v>14.185833333333335</v>
      </c>
    </row>
    <row r="11" spans="1:31" s="105" customFormat="1">
      <c r="A11" s="99">
        <f t="shared" si="0"/>
        <v>6</v>
      </c>
      <c r="B11" s="99" t="s">
        <v>124</v>
      </c>
      <c r="C11" s="231" t="s">
        <v>128</v>
      </c>
      <c r="D11" s="230">
        <v>2</v>
      </c>
      <c r="E11" s="230"/>
      <c r="F11" s="230">
        <f>'[5]Реестр УК новый'!$G$305</f>
        <v>24</v>
      </c>
      <c r="G11" s="101"/>
      <c r="H11" s="102"/>
      <c r="I11" s="102"/>
      <c r="J11" s="118">
        <f>K11+L11</f>
        <v>187.37213</v>
      </c>
      <c r="K11" s="102">
        <f>93964.24/1000</f>
        <v>93.964240000000004</v>
      </c>
      <c r="L11" s="102">
        <f>93407.89/1000</f>
        <v>93.407889999999995</v>
      </c>
      <c r="M11" s="118">
        <f>N11+O11</f>
        <v>159.18659000000002</v>
      </c>
      <c r="N11" s="102">
        <f>101021.71/1000</f>
        <v>101.02171000000001</v>
      </c>
      <c r="O11" s="102">
        <f>58164.88/1000</f>
        <v>58.164879999999997</v>
      </c>
      <c r="P11" s="118">
        <f>Q11+R11</f>
        <v>170.17187999999999</v>
      </c>
      <c r="Q11" s="102">
        <f>112288.81/1000</f>
        <v>112.28881</v>
      </c>
      <c r="R11" s="102">
        <f>57883.07/1000</f>
        <v>57.883069999999996</v>
      </c>
      <c r="S11" s="118">
        <f>T11+U11</f>
        <v>244.20442</v>
      </c>
      <c r="T11" s="102">
        <f>119293.76/1000</f>
        <v>119.29375999999999</v>
      </c>
      <c r="U11" s="102">
        <f>124910.66/1000</f>
        <v>124.91066000000001</v>
      </c>
      <c r="V11" s="101">
        <f>W11+X11</f>
        <v>331.31867</v>
      </c>
      <c r="W11" s="102">
        <f>226826.07/1000</f>
        <v>226.82607000000002</v>
      </c>
      <c r="X11" s="102">
        <f>104492.6/1000</f>
        <v>104.49260000000001</v>
      </c>
      <c r="Y11" s="318">
        <f>Z11+AA11</f>
        <v>341.33000000000004</v>
      </c>
      <c r="Z11" s="318">
        <v>230.83</v>
      </c>
      <c r="AA11" s="318">
        <v>110.5</v>
      </c>
      <c r="AB11" s="318">
        <f>AC11+AD11</f>
        <v>333.47</v>
      </c>
      <c r="AC11" s="318">
        <v>225.16</v>
      </c>
      <c r="AD11" s="318">
        <v>108.31</v>
      </c>
      <c r="AE11" s="191">
        <f>AB11/F11</f>
        <v>13.894583333333335</v>
      </c>
    </row>
    <row r="12" spans="1:31" s="105" customFormat="1">
      <c r="A12" s="99">
        <f t="shared" si="0"/>
        <v>7</v>
      </c>
      <c r="B12" s="99" t="s">
        <v>124</v>
      </c>
      <c r="C12" s="322" t="s">
        <v>40</v>
      </c>
      <c r="D12" s="323">
        <v>8</v>
      </c>
      <c r="E12" s="323" t="s">
        <v>20</v>
      </c>
      <c r="F12" s="323">
        <f>'[5]Реестр УК новый'!$G$262</f>
        <v>72</v>
      </c>
      <c r="G12" s="101">
        <f>128523.49/1000</f>
        <v>128.52349000000001</v>
      </c>
      <c r="H12" s="102">
        <f>128079.22/1000</f>
        <v>128.07921999999999</v>
      </c>
      <c r="I12" s="102">
        <f>444.27/1000</f>
        <v>0.44427</v>
      </c>
      <c r="J12" s="118">
        <f>K12+L12</f>
        <v>969.08684999999991</v>
      </c>
      <c r="K12" s="102">
        <f>484879.12/1000</f>
        <v>484.87912</v>
      </c>
      <c r="L12" s="102">
        <f>484207.73/1000</f>
        <v>484.20772999999997</v>
      </c>
      <c r="M12" s="118">
        <f>N12+O12</f>
        <v>676.08934999999997</v>
      </c>
      <c r="N12" s="102">
        <f>540072.34/1000</f>
        <v>540.07233999999994</v>
      </c>
      <c r="O12" s="102">
        <f>136017.01/1000</f>
        <v>136.01701</v>
      </c>
      <c r="P12" s="118">
        <f>Q12+R12</f>
        <v>667.53307999999993</v>
      </c>
      <c r="Q12" s="102">
        <f>535383.78/1000</f>
        <v>535.38378</v>
      </c>
      <c r="R12" s="102">
        <f>132149.3/1000</f>
        <v>132.14929999999998</v>
      </c>
      <c r="S12" s="118">
        <f>T12+U12</f>
        <v>769.11923999999999</v>
      </c>
      <c r="T12" s="102">
        <f>596709.37/1000</f>
        <v>596.70937000000004</v>
      </c>
      <c r="U12" s="102">
        <f>172409.87/1000</f>
        <v>172.40986999999998</v>
      </c>
      <c r="V12" s="101">
        <f>W12+X12</f>
        <v>877.94059000000004</v>
      </c>
      <c r="W12" s="102">
        <f>728234.5/1000</f>
        <v>728.23450000000003</v>
      </c>
      <c r="X12" s="102">
        <f>149706.09/1000</f>
        <v>149.70608999999999</v>
      </c>
      <c r="Y12" s="318">
        <f>Z12+AA12</f>
        <v>998.94</v>
      </c>
      <c r="Z12" s="318">
        <v>815.23</v>
      </c>
      <c r="AA12" s="318">
        <v>183.71</v>
      </c>
      <c r="AB12" s="324">
        <f>AC12+AD12</f>
        <v>988.14</v>
      </c>
      <c r="AC12" s="324">
        <v>809.63</v>
      </c>
      <c r="AD12" s="324">
        <v>178.51</v>
      </c>
      <c r="AE12" s="191">
        <f>AB12/F12</f>
        <v>13.724166666666667</v>
      </c>
    </row>
    <row r="13" spans="1:31" s="105" customFormat="1">
      <c r="A13" s="99">
        <f t="shared" si="0"/>
        <v>8</v>
      </c>
      <c r="B13" s="99" t="s">
        <v>124</v>
      </c>
      <c r="C13" s="320" t="s">
        <v>38</v>
      </c>
      <c r="D13" s="230">
        <v>12</v>
      </c>
      <c r="E13" s="230"/>
      <c r="F13" s="230">
        <f>'[5]Реестр УК новый'!$G$244</f>
        <v>12</v>
      </c>
      <c r="G13" s="101"/>
      <c r="H13" s="102"/>
      <c r="I13" s="102"/>
      <c r="J13" s="118"/>
      <c r="K13" s="102"/>
      <c r="L13" s="102"/>
      <c r="M13" s="118"/>
      <c r="N13" s="102"/>
      <c r="O13" s="102"/>
      <c r="P13" s="118"/>
      <c r="Q13" s="102"/>
      <c r="R13" s="102"/>
      <c r="S13" s="118">
        <f>T13+U13</f>
        <v>112.84183</v>
      </c>
      <c r="T13" s="102">
        <f>44713.09/1000</f>
        <v>44.713089999999994</v>
      </c>
      <c r="U13" s="102">
        <f>68128.74/1000</f>
        <v>68.128740000000008</v>
      </c>
      <c r="V13" s="101">
        <f>W13+X13</f>
        <v>155.72313000000003</v>
      </c>
      <c r="W13" s="102">
        <f>65829.1/1000</f>
        <v>65.829100000000011</v>
      </c>
      <c r="X13" s="102">
        <f>89894.03/1000</f>
        <v>89.894030000000001</v>
      </c>
      <c r="Y13" s="318">
        <f>Z13+AA13</f>
        <v>162.82999999999998</v>
      </c>
      <c r="Z13" s="318">
        <v>66.959999999999994</v>
      </c>
      <c r="AA13" s="318">
        <v>95.87</v>
      </c>
      <c r="AB13" s="318">
        <f>AC13+AD13</f>
        <v>155.32</v>
      </c>
      <c r="AC13" s="318">
        <v>61.54</v>
      </c>
      <c r="AD13" s="318">
        <v>93.78</v>
      </c>
      <c r="AE13" s="191">
        <f>AB13/F13</f>
        <v>12.943333333333333</v>
      </c>
    </row>
    <row r="14" spans="1:31" s="105" customFormat="1">
      <c r="A14" s="99">
        <f t="shared" si="0"/>
        <v>9</v>
      </c>
      <c r="B14" s="99" t="s">
        <v>124</v>
      </c>
      <c r="C14" s="231" t="s">
        <v>75</v>
      </c>
      <c r="D14" s="230">
        <v>19</v>
      </c>
      <c r="E14" s="230" t="s">
        <v>21</v>
      </c>
      <c r="F14" s="230">
        <f>'[5]Реестр УК новый'!$G$240</f>
        <v>12</v>
      </c>
      <c r="G14" s="101"/>
      <c r="H14" s="102"/>
      <c r="I14" s="102"/>
      <c r="J14" s="118">
        <f>K14+L14</f>
        <v>105.31792</v>
      </c>
      <c r="K14" s="102">
        <f>48501.75/1000</f>
        <v>48.501750000000001</v>
      </c>
      <c r="L14" s="102">
        <f>56816.17/1000</f>
        <v>56.81617</v>
      </c>
      <c r="M14" s="118">
        <f>N14+O14</f>
        <v>94.438410000000005</v>
      </c>
      <c r="N14" s="102">
        <f>57443.45/1000</f>
        <v>57.443449999999999</v>
      </c>
      <c r="O14" s="102">
        <f>36994.96/1000</f>
        <v>36.994959999999999</v>
      </c>
      <c r="P14" s="118">
        <f>Q14+R14</f>
        <v>123.00125</v>
      </c>
      <c r="Q14" s="102">
        <f>68550.95/1000</f>
        <v>68.55095</v>
      </c>
      <c r="R14" s="102">
        <f>54450.3/1000</f>
        <v>54.450300000000006</v>
      </c>
      <c r="S14" s="118">
        <f>T14+U14</f>
        <v>161.32567999999998</v>
      </c>
      <c r="T14" s="102">
        <f>67988/1000</f>
        <v>67.988</v>
      </c>
      <c r="U14" s="102">
        <f>93337.68/1000</f>
        <v>93.337679999999992</v>
      </c>
      <c r="V14" s="101">
        <f>W14+X14</f>
        <v>149.97404</v>
      </c>
      <c r="W14" s="102">
        <f>69168.47/1000</f>
        <v>69.168469999999999</v>
      </c>
      <c r="X14" s="102">
        <f>80805.57/1000</f>
        <v>80.805570000000003</v>
      </c>
      <c r="Y14" s="318">
        <f>Z14+AA14</f>
        <v>156.22</v>
      </c>
      <c r="Z14" s="318">
        <v>70.17</v>
      </c>
      <c r="AA14" s="318">
        <v>86.05</v>
      </c>
      <c r="AB14" s="318">
        <f>AC14+AD14</f>
        <v>148.59</v>
      </c>
      <c r="AC14" s="318">
        <v>65.98</v>
      </c>
      <c r="AD14" s="318">
        <v>82.61</v>
      </c>
      <c r="AE14" s="191">
        <f>AB14/F14</f>
        <v>12.3825</v>
      </c>
    </row>
    <row r="15" spans="1:31" s="105" customFormat="1">
      <c r="A15" s="99">
        <f t="shared" si="0"/>
        <v>10</v>
      </c>
      <c r="B15" s="99" t="s">
        <v>124</v>
      </c>
      <c r="C15" s="231" t="s">
        <v>94</v>
      </c>
      <c r="D15" s="230">
        <v>7</v>
      </c>
      <c r="E15" s="230" t="s">
        <v>20</v>
      </c>
      <c r="F15" s="230">
        <f>'[5]Реестр УК новый'!$G$333</f>
        <v>12</v>
      </c>
      <c r="G15" s="101"/>
      <c r="H15" s="102"/>
      <c r="I15" s="102"/>
      <c r="J15" s="118">
        <f>K15+L15</f>
        <v>74.828890000000001</v>
      </c>
      <c r="K15" s="102">
        <f>44625.48/1000</f>
        <v>44.625480000000003</v>
      </c>
      <c r="L15" s="102">
        <f>30203.41/1000</f>
        <v>30.203409999999998</v>
      </c>
      <c r="M15" s="118">
        <f>N15+O15</f>
        <v>96.346869999999996</v>
      </c>
      <c r="N15" s="102">
        <f>56044.76/1000</f>
        <v>56.044760000000004</v>
      </c>
      <c r="O15" s="102">
        <f>40302.11/1000</f>
        <v>40.302109999999999</v>
      </c>
      <c r="P15" s="118">
        <f>Q15+R15</f>
        <v>100.00181000000001</v>
      </c>
      <c r="Q15" s="102">
        <f>60623.82/1000</f>
        <v>60.623820000000002</v>
      </c>
      <c r="R15" s="102">
        <f>39377.99/1000</f>
        <v>39.377989999999997</v>
      </c>
      <c r="S15" s="118">
        <f>T15+U15</f>
        <v>116.74961999999999</v>
      </c>
      <c r="T15" s="102">
        <f>66138.95/1000</f>
        <v>66.138949999999994</v>
      </c>
      <c r="U15" s="102">
        <f>50610.67/1000</f>
        <v>50.610669999999999</v>
      </c>
      <c r="V15" s="101">
        <f>W15+X15</f>
        <v>135.29067000000001</v>
      </c>
      <c r="W15" s="102">
        <f>95753.99/1000</f>
        <v>95.753990000000002</v>
      </c>
      <c r="X15" s="102">
        <f>39536.68/1000</f>
        <v>39.536679999999997</v>
      </c>
      <c r="Y15" s="318">
        <f>Z15+AA15</f>
        <v>143.29</v>
      </c>
      <c r="Z15" s="318">
        <v>97.75</v>
      </c>
      <c r="AA15" s="318">
        <v>45.54</v>
      </c>
      <c r="AB15" s="318">
        <f>AC15+AD15</f>
        <v>141.03</v>
      </c>
      <c r="AC15" s="318">
        <v>96.57</v>
      </c>
      <c r="AD15" s="318">
        <v>44.46</v>
      </c>
      <c r="AE15" s="191">
        <f>AB15/F15</f>
        <v>11.7525</v>
      </c>
    </row>
    <row r="16" spans="1:31" s="105" customFormat="1">
      <c r="A16" s="99">
        <f t="shared" si="0"/>
        <v>11</v>
      </c>
      <c r="B16" s="99" t="s">
        <v>124</v>
      </c>
      <c r="C16" s="231" t="s">
        <v>98</v>
      </c>
      <c r="D16" s="230">
        <v>41</v>
      </c>
      <c r="E16" s="230"/>
      <c r="F16" s="230">
        <f>'[5]Реестр УК новый'!$G$371</f>
        <v>12</v>
      </c>
      <c r="G16" s="101"/>
      <c r="H16" s="102"/>
      <c r="I16" s="102"/>
      <c r="J16" s="118"/>
      <c r="K16" s="102"/>
      <c r="L16" s="102"/>
      <c r="M16" s="118">
        <f>N16+O16</f>
        <v>36.265000000000001</v>
      </c>
      <c r="N16" s="102">
        <f>36265/1000</f>
        <v>36.265000000000001</v>
      </c>
      <c r="O16" s="102"/>
      <c r="P16" s="118">
        <f>Q16+R16</f>
        <v>65.968999999999994</v>
      </c>
      <c r="Q16" s="102">
        <f>65969/1000</f>
        <v>65.968999999999994</v>
      </c>
      <c r="R16" s="102"/>
      <c r="S16" s="118">
        <f>T16+U16</f>
        <v>85.080160000000006</v>
      </c>
      <c r="T16" s="102">
        <f>85080.16/1000</f>
        <v>85.080160000000006</v>
      </c>
      <c r="U16" s="102"/>
      <c r="V16" s="101">
        <f>W16+X16</f>
        <v>139.10235999999998</v>
      </c>
      <c r="W16" s="102">
        <f>139102.36/1000</f>
        <v>139.10235999999998</v>
      </c>
      <c r="X16" s="102"/>
      <c r="Y16" s="318">
        <f>Z16+AA16</f>
        <v>141.1</v>
      </c>
      <c r="Z16" s="318">
        <v>141.1</v>
      </c>
      <c r="AA16" s="318"/>
      <c r="AB16" s="318">
        <f>AC16+AD16</f>
        <v>140.01</v>
      </c>
      <c r="AC16" s="318">
        <v>140.01</v>
      </c>
      <c r="AD16" s="318"/>
      <c r="AE16" s="191">
        <f>AB16/F16</f>
        <v>11.667499999999999</v>
      </c>
    </row>
    <row r="17" spans="1:31" s="105" customFormat="1">
      <c r="A17" s="99">
        <f t="shared" si="0"/>
        <v>12</v>
      </c>
      <c r="B17" s="99" t="s">
        <v>124</v>
      </c>
      <c r="C17" s="231" t="s">
        <v>75</v>
      </c>
      <c r="D17" s="230">
        <v>19</v>
      </c>
      <c r="E17" s="230"/>
      <c r="F17" s="230">
        <f>'[5]Реестр УК новый'!$G$233</f>
        <v>12</v>
      </c>
      <c r="G17" s="101"/>
      <c r="H17" s="102"/>
      <c r="I17" s="102"/>
      <c r="J17" s="118">
        <f>K17+L17</f>
        <v>82.834329999999994</v>
      </c>
      <c r="K17" s="102">
        <f>43854.35/1000</f>
        <v>43.854349999999997</v>
      </c>
      <c r="L17" s="102">
        <f>38979.98/1000</f>
        <v>38.979980000000005</v>
      </c>
      <c r="M17" s="118">
        <f>N17+O17</f>
        <v>61.986500000000007</v>
      </c>
      <c r="N17" s="102">
        <f>46487.19/1000</f>
        <v>46.487190000000005</v>
      </c>
      <c r="O17" s="102">
        <f>15499.31/1000</f>
        <v>15.499309999999999</v>
      </c>
      <c r="P17" s="118">
        <f>Q17+R17</f>
        <v>115.85748000000001</v>
      </c>
      <c r="Q17" s="102">
        <f>61131.73/1000</f>
        <v>61.131730000000005</v>
      </c>
      <c r="R17" s="102">
        <f>54725.75/1000</f>
        <v>54.725749999999998</v>
      </c>
      <c r="S17" s="118">
        <f>T17+U17</f>
        <v>145.43806999999998</v>
      </c>
      <c r="T17" s="102">
        <f>62917.42/1000</f>
        <v>62.91742</v>
      </c>
      <c r="U17" s="102">
        <f>82520.65/1000</f>
        <v>82.520649999999989</v>
      </c>
      <c r="V17" s="101">
        <f>W17+X17</f>
        <v>136.89044000000001</v>
      </c>
      <c r="W17" s="102">
        <f>62480.73/1000</f>
        <v>62.480730000000001</v>
      </c>
      <c r="X17" s="102">
        <f>74409.71/1000</f>
        <v>74.409710000000004</v>
      </c>
      <c r="Y17" s="318">
        <f>Z17+AA17</f>
        <v>146.04</v>
      </c>
      <c r="Z17" s="318">
        <v>62.48</v>
      </c>
      <c r="AA17" s="318">
        <v>83.56</v>
      </c>
      <c r="AB17" s="318">
        <f>AC17+AD17</f>
        <v>137.5</v>
      </c>
      <c r="AC17" s="318">
        <v>54.95</v>
      </c>
      <c r="AD17" s="318">
        <v>82.55</v>
      </c>
      <c r="AE17" s="191">
        <f>AB17/F17</f>
        <v>11.458333333333334</v>
      </c>
    </row>
    <row r="18" spans="1:31" s="105" customFormat="1">
      <c r="A18" s="99">
        <f t="shared" si="0"/>
        <v>13</v>
      </c>
      <c r="B18" s="99" t="s">
        <v>124</v>
      </c>
      <c r="C18" s="228" t="s">
        <v>19</v>
      </c>
      <c r="D18" s="229">
        <v>32</v>
      </c>
      <c r="E18" s="230"/>
      <c r="F18" s="230">
        <f>'[5]Реестр УК новый'!$G$126</f>
        <v>12</v>
      </c>
      <c r="G18" s="101"/>
      <c r="H18" s="102"/>
      <c r="I18" s="102"/>
      <c r="J18" s="118"/>
      <c r="K18" s="102"/>
      <c r="L18" s="102"/>
      <c r="M18" s="118"/>
      <c r="N18" s="102"/>
      <c r="O18" s="102"/>
      <c r="P18" s="118"/>
      <c r="Q18" s="102"/>
      <c r="R18" s="102"/>
      <c r="S18" s="118">
        <f>T18+U18</f>
        <v>122.23857000000001</v>
      </c>
      <c r="T18" s="102">
        <f>52974.25/1000</f>
        <v>52.974249999999998</v>
      </c>
      <c r="U18" s="102">
        <f>69264.32/1000</f>
        <v>69.264320000000012</v>
      </c>
      <c r="V18" s="101">
        <f>W18+X18</f>
        <v>138.08870000000002</v>
      </c>
      <c r="W18" s="102">
        <f>61130.11/1000</f>
        <v>61.130110000000002</v>
      </c>
      <c r="X18" s="102">
        <f>76958.59/1000</f>
        <v>76.958590000000001</v>
      </c>
      <c r="Y18" s="318">
        <f>Z18+AA18</f>
        <v>138.09</v>
      </c>
      <c r="Z18" s="318">
        <v>61.13</v>
      </c>
      <c r="AA18" s="318">
        <v>76.959999999999994</v>
      </c>
      <c r="AB18" s="318">
        <f>AC18+AD18</f>
        <v>135.75</v>
      </c>
      <c r="AC18" s="318">
        <v>58.52</v>
      </c>
      <c r="AD18" s="318">
        <v>77.23</v>
      </c>
      <c r="AE18" s="191">
        <f>AB18/F18</f>
        <v>11.3125</v>
      </c>
    </row>
    <row r="19" spans="1:31" s="105" customFormat="1">
      <c r="A19" s="99">
        <f t="shared" si="0"/>
        <v>14</v>
      </c>
      <c r="B19" s="99" t="s">
        <v>124</v>
      </c>
      <c r="C19" s="231" t="s">
        <v>129</v>
      </c>
      <c r="D19" s="230">
        <v>3</v>
      </c>
      <c r="E19" s="230"/>
      <c r="F19" s="230">
        <f>'[5]Реестр УК новый'!$G$337</f>
        <v>24</v>
      </c>
      <c r="G19" s="101">
        <f>66531.09/1000</f>
        <v>66.531089999999992</v>
      </c>
      <c r="H19" s="102">
        <f>27281.77/1000</f>
        <v>27.281770000000002</v>
      </c>
      <c r="I19" s="102">
        <f>39249.32/1000</f>
        <v>39.249319999999997</v>
      </c>
      <c r="J19" s="118">
        <f>K19+L19</f>
        <v>229.48003</v>
      </c>
      <c r="K19" s="102">
        <f>92430.2/1000</f>
        <v>92.430199999999999</v>
      </c>
      <c r="L19" s="102">
        <f>137049.83/1000</f>
        <v>137.04982999999999</v>
      </c>
      <c r="M19" s="118">
        <f>N19+O19</f>
        <v>187.10381000000001</v>
      </c>
      <c r="N19" s="102">
        <f>77509.14/1000</f>
        <v>77.509140000000002</v>
      </c>
      <c r="O19" s="102">
        <f>109594.67/1000</f>
        <v>109.59466999999999</v>
      </c>
      <c r="P19" s="118">
        <f>Q19+R19</f>
        <v>217.75695000000002</v>
      </c>
      <c r="Q19" s="102">
        <f>82390.08/1000</f>
        <v>82.390079999999998</v>
      </c>
      <c r="R19" s="102">
        <f>135366.87/1000</f>
        <v>135.36687000000001</v>
      </c>
      <c r="S19" s="118">
        <f>T19+U19</f>
        <v>284.91730999999999</v>
      </c>
      <c r="T19" s="102">
        <f>93407.38/1000</f>
        <v>93.407380000000003</v>
      </c>
      <c r="U19" s="102">
        <f>191509.93/1000</f>
        <v>191.50993</v>
      </c>
      <c r="V19" s="101">
        <f>W19+X19</f>
        <v>257.53922</v>
      </c>
      <c r="W19" s="102">
        <f>90921.06/1000</f>
        <v>90.921059999999997</v>
      </c>
      <c r="X19" s="102">
        <f>166618.16/1000</f>
        <v>166.61816000000002</v>
      </c>
      <c r="Y19" s="318">
        <f>Z19+AA19</f>
        <v>269.37</v>
      </c>
      <c r="Z19" s="318">
        <v>91.21</v>
      </c>
      <c r="AA19" s="318">
        <v>178.16</v>
      </c>
      <c r="AB19" s="318">
        <f>AC19+AD19</f>
        <v>267.27999999999997</v>
      </c>
      <c r="AC19" s="318">
        <v>90.12</v>
      </c>
      <c r="AD19" s="318">
        <v>177.16</v>
      </c>
      <c r="AE19" s="191">
        <f>AB19/F19</f>
        <v>11.136666666666665</v>
      </c>
    </row>
    <row r="20" spans="1:31" s="105" customFormat="1">
      <c r="A20" s="99">
        <f t="shared" si="0"/>
        <v>15</v>
      </c>
      <c r="B20" s="99" t="s">
        <v>124</v>
      </c>
      <c r="C20" s="231" t="s">
        <v>75</v>
      </c>
      <c r="D20" s="230">
        <v>19</v>
      </c>
      <c r="E20" s="230" t="s">
        <v>20</v>
      </c>
      <c r="F20" s="230">
        <f>'[5]Реестр УК новый'!$G$239</f>
        <v>12</v>
      </c>
      <c r="G20" s="101"/>
      <c r="H20" s="102"/>
      <c r="I20" s="102"/>
      <c r="J20" s="118">
        <f>K20+L20</f>
        <v>198.95128</v>
      </c>
      <c r="K20" s="102">
        <f>64515.73/1000</f>
        <v>64.515730000000005</v>
      </c>
      <c r="L20" s="102">
        <f>134435.55/1000</f>
        <v>134.43554999999998</v>
      </c>
      <c r="M20" s="118">
        <f>N20+O20</f>
        <v>161.79535999999999</v>
      </c>
      <c r="N20" s="102">
        <f>60420.33/1000</f>
        <v>60.42033</v>
      </c>
      <c r="O20" s="102">
        <f>101375.03/1000</f>
        <v>101.37503</v>
      </c>
      <c r="P20" s="118">
        <f>Q20+R20</f>
        <v>111.20373000000001</v>
      </c>
      <c r="Q20" s="102">
        <f>56792.82/1000</f>
        <v>56.792819999999999</v>
      </c>
      <c r="R20" s="102">
        <f>54410.91/1000</f>
        <v>54.410910000000001</v>
      </c>
      <c r="S20" s="118">
        <f>T20+U20</f>
        <v>159.39394000000001</v>
      </c>
      <c r="T20" s="102">
        <f>59629.64/1000</f>
        <v>59.629640000000002</v>
      </c>
      <c r="U20" s="102">
        <f>99764.3/1000</f>
        <v>99.764300000000006</v>
      </c>
      <c r="V20" s="101">
        <f>W20+X20</f>
        <v>139.27958000000001</v>
      </c>
      <c r="W20" s="102">
        <f>49824.57/1000</f>
        <v>49.824570000000001</v>
      </c>
      <c r="X20" s="102">
        <f>89455.01/1000</f>
        <v>89.455010000000001</v>
      </c>
      <c r="Y20" s="318">
        <f>Z20+AA20</f>
        <v>141.98000000000002</v>
      </c>
      <c r="Z20" s="318">
        <v>52.83</v>
      </c>
      <c r="AA20" s="318">
        <v>89.15</v>
      </c>
      <c r="AB20" s="318">
        <f>AC20+AD20</f>
        <v>130.51</v>
      </c>
      <c r="AC20" s="318">
        <v>42.56</v>
      </c>
      <c r="AD20" s="318">
        <v>87.95</v>
      </c>
      <c r="AE20" s="191">
        <f>AB20/F20</f>
        <v>10.875833333333333</v>
      </c>
    </row>
    <row r="21" spans="1:31" s="105" customFormat="1">
      <c r="A21" s="99">
        <f t="shared" si="0"/>
        <v>16</v>
      </c>
      <c r="B21" s="99" t="s">
        <v>124</v>
      </c>
      <c r="C21" s="231" t="s">
        <v>75</v>
      </c>
      <c r="D21" s="230">
        <v>17</v>
      </c>
      <c r="E21" s="230" t="s">
        <v>20</v>
      </c>
      <c r="F21" s="230">
        <f>'[5]Реестр УК новый'!$G$237</f>
        <v>12</v>
      </c>
      <c r="G21" s="101"/>
      <c r="H21" s="102"/>
      <c r="I21" s="102"/>
      <c r="J21" s="118">
        <f>K21+L21</f>
        <v>87.359849999999994</v>
      </c>
      <c r="K21" s="102">
        <f>39819.85/1000</f>
        <v>39.819849999999995</v>
      </c>
      <c r="L21" s="102">
        <f>47540/1000</f>
        <v>47.54</v>
      </c>
      <c r="M21" s="118">
        <f>N21+O21</f>
        <v>33.076529999999998</v>
      </c>
      <c r="N21" s="102">
        <f>36169.85/1000</f>
        <v>36.169849999999997</v>
      </c>
      <c r="O21" s="102">
        <f>-3093.32/1000</f>
        <v>-3.0933200000000003</v>
      </c>
      <c r="P21" s="118">
        <f>Q21+R21</f>
        <v>82.056979999999996</v>
      </c>
      <c r="Q21" s="102">
        <f>73294.29/1000</f>
        <v>73.29428999999999</v>
      </c>
      <c r="R21" s="102">
        <f>8762.69/1000</f>
        <v>8.762690000000001</v>
      </c>
      <c r="S21" s="118">
        <f>T21+U21</f>
        <v>127.34243000000001</v>
      </c>
      <c r="T21" s="102">
        <f>63628.27/1000</f>
        <v>63.628269999999993</v>
      </c>
      <c r="U21" s="102">
        <f>63714.16/1000</f>
        <v>63.714160000000007</v>
      </c>
      <c r="V21" s="101">
        <f>W21+X21</f>
        <v>128.19368</v>
      </c>
      <c r="W21" s="102">
        <f>64009.09/1000</f>
        <v>64.00909</v>
      </c>
      <c r="X21" s="102">
        <f>64184.59/1000</f>
        <v>64.18459</v>
      </c>
      <c r="Y21" s="318">
        <f>Z21+AA21</f>
        <v>138.60000000000002</v>
      </c>
      <c r="Z21" s="318">
        <v>64.010000000000005</v>
      </c>
      <c r="AA21" s="318">
        <v>74.59</v>
      </c>
      <c r="AB21" s="318">
        <f>AC21+AD21</f>
        <v>129.13</v>
      </c>
      <c r="AC21" s="318">
        <v>60.01</v>
      </c>
      <c r="AD21" s="318">
        <v>69.12</v>
      </c>
      <c r="AE21" s="191">
        <f>AB21/F21</f>
        <v>10.760833333333332</v>
      </c>
    </row>
    <row r="22" spans="1:31" s="105" customFormat="1">
      <c r="A22" s="99">
        <f t="shared" si="0"/>
        <v>17</v>
      </c>
      <c r="B22" s="99" t="s">
        <v>124</v>
      </c>
      <c r="C22" s="231" t="s">
        <v>130</v>
      </c>
      <c r="D22" s="230">
        <v>1</v>
      </c>
      <c r="E22" s="230" t="s">
        <v>21</v>
      </c>
      <c r="F22" s="230">
        <f>'[5]Реестр УК новый'!$G$389</f>
        <v>8</v>
      </c>
      <c r="G22" s="101"/>
      <c r="H22" s="102"/>
      <c r="I22" s="102"/>
      <c r="J22" s="118"/>
      <c r="K22" s="102"/>
      <c r="L22" s="102"/>
      <c r="M22" s="118"/>
      <c r="N22" s="102"/>
      <c r="O22" s="102"/>
      <c r="P22" s="118">
        <f>Q22+R22</f>
        <v>27.29363</v>
      </c>
      <c r="Q22" s="102">
        <f>27293.63/1000</f>
        <v>27.29363</v>
      </c>
      <c r="R22" s="102"/>
      <c r="S22" s="118">
        <f>T22+U22</f>
        <v>53.25188</v>
      </c>
      <c r="T22" s="102">
        <f>53251.88/1000</f>
        <v>53.25188</v>
      </c>
      <c r="U22" s="102"/>
      <c r="V22" s="101">
        <f>W22+X22</f>
        <v>78.443100000000001</v>
      </c>
      <c r="W22" s="102">
        <f>78443.1/1000</f>
        <v>78.443100000000001</v>
      </c>
      <c r="X22" s="102"/>
      <c r="Y22" s="318">
        <f>Z22+AA22</f>
        <v>86.49</v>
      </c>
      <c r="Z22" s="318">
        <v>86.49</v>
      </c>
      <c r="AA22" s="321"/>
      <c r="AB22" s="318">
        <f>AC22+AD22</f>
        <v>84</v>
      </c>
      <c r="AC22" s="318">
        <v>84</v>
      </c>
      <c r="AD22" s="321"/>
      <c r="AE22" s="191">
        <f>AB22/F22</f>
        <v>10.5</v>
      </c>
    </row>
    <row r="23" spans="1:31" s="105" customFormat="1">
      <c r="A23" s="99">
        <f t="shared" si="0"/>
        <v>18</v>
      </c>
      <c r="B23" s="99" t="s">
        <v>124</v>
      </c>
      <c r="C23" s="231" t="s">
        <v>37</v>
      </c>
      <c r="D23" s="230">
        <v>15</v>
      </c>
      <c r="E23" s="230"/>
      <c r="F23" s="230">
        <f>'[5]Реестр УК новый'!$G$210</f>
        <v>8</v>
      </c>
      <c r="G23" s="101"/>
      <c r="H23" s="102"/>
      <c r="I23" s="102"/>
      <c r="J23" s="118"/>
      <c r="K23" s="102"/>
      <c r="L23" s="102"/>
      <c r="M23" s="118">
        <f>N23+O23</f>
        <v>31.462889999999998</v>
      </c>
      <c r="N23" s="102">
        <f>31462.89/1000</f>
        <v>31.462889999999998</v>
      </c>
      <c r="O23" s="102"/>
      <c r="P23" s="118">
        <f>Q23+R23</f>
        <v>68.364320000000006</v>
      </c>
      <c r="Q23" s="102">
        <f>68364.32/1000</f>
        <v>68.364320000000006</v>
      </c>
      <c r="R23" s="102"/>
      <c r="S23" s="118">
        <f>T23+U23</f>
        <v>69.567270000000008</v>
      </c>
      <c r="T23" s="102">
        <f>69567.27/1000</f>
        <v>69.567270000000008</v>
      </c>
      <c r="U23" s="102"/>
      <c r="V23" s="101">
        <f>W23+X23</f>
        <v>84.589339999999993</v>
      </c>
      <c r="W23" s="102">
        <f>84589.34/1000</f>
        <v>84.589339999999993</v>
      </c>
      <c r="X23" s="102"/>
      <c r="Y23" s="318">
        <f>Z23+AA23</f>
        <v>86.59</v>
      </c>
      <c r="Z23" s="318">
        <v>86.59</v>
      </c>
      <c r="AA23" s="318"/>
      <c r="AB23" s="318">
        <f>AC23+AD23</f>
        <v>81.95</v>
      </c>
      <c r="AC23" s="318">
        <v>81.95</v>
      </c>
      <c r="AD23" s="318"/>
      <c r="AE23" s="191">
        <f>AB23/F23</f>
        <v>10.24375</v>
      </c>
    </row>
    <row r="24" spans="1:31" s="105" customFormat="1">
      <c r="A24" s="99">
        <f t="shared" si="0"/>
        <v>19</v>
      </c>
      <c r="B24" s="99" t="s">
        <v>124</v>
      </c>
      <c r="C24" s="231" t="s">
        <v>98</v>
      </c>
      <c r="D24" s="230">
        <v>32</v>
      </c>
      <c r="E24" s="230"/>
      <c r="F24" s="230">
        <f>'[5]Реестр УК новый'!$G$364</f>
        <v>12</v>
      </c>
      <c r="G24" s="101"/>
      <c r="H24" s="102"/>
      <c r="I24" s="102"/>
      <c r="J24" s="118">
        <f>K24+L24</f>
        <v>94.473549999999989</v>
      </c>
      <c r="K24" s="102">
        <f>47576.1/1000</f>
        <v>47.576099999999997</v>
      </c>
      <c r="L24" s="102">
        <f>46897.45/1000</f>
        <v>46.897449999999999</v>
      </c>
      <c r="M24" s="118">
        <f>N24+O24</f>
        <v>85.779719999999998</v>
      </c>
      <c r="N24" s="102">
        <f>53758.8/1000</f>
        <v>53.758800000000001</v>
      </c>
      <c r="O24" s="102">
        <f>32020.92/1000</f>
        <v>32.020919999999997</v>
      </c>
      <c r="P24" s="118">
        <f>Q24+R24</f>
        <v>69.061970000000002</v>
      </c>
      <c r="Q24" s="102">
        <f>44981.08/1000</f>
        <v>44.981079999999999</v>
      </c>
      <c r="R24" s="102">
        <f>24080.89/1000</f>
        <v>24.08089</v>
      </c>
      <c r="S24" s="118">
        <f>T24+U24</f>
        <v>95.902240000000006</v>
      </c>
      <c r="T24" s="102">
        <f>41664.97/1000</f>
        <v>41.664970000000004</v>
      </c>
      <c r="U24" s="102">
        <f>54237.27/1000</f>
        <v>54.237269999999995</v>
      </c>
      <c r="V24" s="101">
        <f>W24+X24</f>
        <v>120.05601999999999</v>
      </c>
      <c r="W24" s="102">
        <f>67849.88/1000</f>
        <v>67.849879999999999</v>
      </c>
      <c r="X24" s="102">
        <f>52206.14/1000</f>
        <v>52.206139999999998</v>
      </c>
      <c r="Y24" s="318">
        <f>Z24+AA24</f>
        <v>123.13</v>
      </c>
      <c r="Z24" s="318">
        <v>66.849999999999994</v>
      </c>
      <c r="AA24" s="318">
        <v>56.28</v>
      </c>
      <c r="AB24" s="318">
        <f>AC24+AD24</f>
        <v>121.4</v>
      </c>
      <c r="AC24" s="318">
        <v>65.58</v>
      </c>
      <c r="AD24" s="318">
        <v>55.82</v>
      </c>
      <c r="AE24" s="191">
        <f>AB24/F24</f>
        <v>10.116666666666667</v>
      </c>
    </row>
    <row r="25" spans="1:31" s="105" customFormat="1">
      <c r="A25" s="99">
        <f t="shared" si="0"/>
        <v>20</v>
      </c>
      <c r="B25" s="99" t="s">
        <v>124</v>
      </c>
      <c r="C25" s="228" t="s">
        <v>31</v>
      </c>
      <c r="D25" s="229">
        <v>48</v>
      </c>
      <c r="E25" s="230" t="s">
        <v>20</v>
      </c>
      <c r="F25" s="230">
        <f>'[5]Реестр УК новый'!$G$41</f>
        <v>12</v>
      </c>
      <c r="G25" s="118"/>
      <c r="H25" s="119"/>
      <c r="I25" s="119"/>
      <c r="J25" s="118">
        <f>K25+L25</f>
        <v>112.95087000000001</v>
      </c>
      <c r="K25" s="119">
        <f>58090.57/1000</f>
        <v>58.09057</v>
      </c>
      <c r="L25" s="119">
        <f>54860.3/1000</f>
        <v>54.860300000000002</v>
      </c>
      <c r="M25" s="118">
        <f>N25+O25</f>
        <v>107.81027</v>
      </c>
      <c r="N25" s="119">
        <f>56322.83/1000</f>
        <v>56.322830000000003</v>
      </c>
      <c r="O25" s="119">
        <f>51487.44/1000</f>
        <v>51.487439999999999</v>
      </c>
      <c r="P25" s="118">
        <f>Q25+R25</f>
        <v>140.81232999999997</v>
      </c>
      <c r="Q25" s="119">
        <f>59687.99/1000</f>
        <v>59.687989999999999</v>
      </c>
      <c r="R25" s="119">
        <f>81124.34/1000</f>
        <v>81.124339999999989</v>
      </c>
      <c r="S25" s="118">
        <f>T25+U25</f>
        <v>119.21088</v>
      </c>
      <c r="T25" s="119">
        <f>54728.39/1000</f>
        <v>54.728389999999997</v>
      </c>
      <c r="U25" s="119">
        <f>64482.49/1000</f>
        <v>64.482489999999999</v>
      </c>
      <c r="V25" s="118">
        <f>W25+X25</f>
        <v>127.22141999999999</v>
      </c>
      <c r="W25" s="119">
        <f>59137.74/1000</f>
        <v>59.137740000000001</v>
      </c>
      <c r="X25" s="119">
        <f>68083.68/1000</f>
        <v>68.083679999999987</v>
      </c>
      <c r="Y25" s="318">
        <f>Z25+AA25</f>
        <v>122.34</v>
      </c>
      <c r="Z25" s="318">
        <v>57.26</v>
      </c>
      <c r="AA25" s="318">
        <v>65.08</v>
      </c>
      <c r="AB25" s="318">
        <f>AC25+AD25</f>
        <v>118.26</v>
      </c>
      <c r="AC25" s="318">
        <v>54.2</v>
      </c>
      <c r="AD25" s="318">
        <v>64.06</v>
      </c>
      <c r="AE25" s="191">
        <f>AB25/F25</f>
        <v>9.8550000000000004</v>
      </c>
    </row>
    <row r="26" spans="1:31" s="105" customFormat="1">
      <c r="A26" s="99">
        <f t="shared" si="0"/>
        <v>21</v>
      </c>
      <c r="B26" s="99" t="s">
        <v>124</v>
      </c>
      <c r="C26" s="231" t="s">
        <v>75</v>
      </c>
      <c r="D26" s="230">
        <v>17</v>
      </c>
      <c r="E26" s="230"/>
      <c r="F26" s="230">
        <f>'[5]Реестр УК новый'!$G$232</f>
        <v>12</v>
      </c>
      <c r="G26" s="101"/>
      <c r="H26" s="102"/>
      <c r="I26" s="102"/>
      <c r="J26" s="118">
        <f>K26+L26</f>
        <v>138.19191000000001</v>
      </c>
      <c r="K26" s="102">
        <f>52862.06/1000</f>
        <v>52.86206</v>
      </c>
      <c r="L26" s="102">
        <f>85329.85/1000</f>
        <v>85.329850000000008</v>
      </c>
      <c r="M26" s="118">
        <f>N26+O26</f>
        <v>55.255649999999996</v>
      </c>
      <c r="N26" s="102">
        <f>34386.27/1000</f>
        <v>34.386269999999996</v>
      </c>
      <c r="O26" s="102">
        <f>20869.38/1000</f>
        <v>20.86938</v>
      </c>
      <c r="P26" s="118">
        <f>Q26+R26</f>
        <v>61.869250000000001</v>
      </c>
      <c r="Q26" s="102">
        <f>32201.78/1000</f>
        <v>32.201779999999999</v>
      </c>
      <c r="R26" s="102">
        <f>29667.47/1000</f>
        <v>29.667470000000002</v>
      </c>
      <c r="S26" s="118">
        <f>T26+U26</f>
        <v>160.05783</v>
      </c>
      <c r="T26" s="102">
        <f>70371.74/1000</f>
        <v>70.371740000000003</v>
      </c>
      <c r="U26" s="102">
        <f>89686.09/1000</f>
        <v>89.686089999999993</v>
      </c>
      <c r="V26" s="101">
        <f>W26+X26</f>
        <v>112.89095</v>
      </c>
      <c r="W26" s="102">
        <f>56123.92/1000</f>
        <v>56.123919999999998</v>
      </c>
      <c r="X26" s="102">
        <f>56767.03/1000</f>
        <v>56.767029999999998</v>
      </c>
      <c r="Y26" s="318">
        <f>Z26+AA26</f>
        <v>120.47999999999999</v>
      </c>
      <c r="Z26" s="318">
        <v>55.16</v>
      </c>
      <c r="AA26" s="318">
        <v>65.319999999999993</v>
      </c>
      <c r="AB26" s="318">
        <f>AC26+AD26</f>
        <v>114.74000000000001</v>
      </c>
      <c r="AC26" s="318">
        <v>52.85</v>
      </c>
      <c r="AD26" s="318">
        <v>61.89</v>
      </c>
      <c r="AE26" s="191">
        <f>AB26/F26</f>
        <v>9.5616666666666674</v>
      </c>
    </row>
    <row r="27" spans="1:31" s="105" customFormat="1">
      <c r="A27" s="99">
        <f t="shared" si="0"/>
        <v>22</v>
      </c>
      <c r="B27" s="99" t="s">
        <v>124</v>
      </c>
      <c r="C27" s="231" t="s">
        <v>98</v>
      </c>
      <c r="D27" s="230">
        <v>34</v>
      </c>
      <c r="E27" s="230"/>
      <c r="F27" s="230">
        <f>'[5]Реестр УК новый'!$G$366</f>
        <v>12</v>
      </c>
      <c r="G27" s="101"/>
      <c r="H27" s="102"/>
      <c r="I27" s="102"/>
      <c r="J27" s="118">
        <f>K27+L27</f>
        <v>44.596040000000002</v>
      </c>
      <c r="K27" s="102">
        <f>24883.01/1000</f>
        <v>24.883009999999999</v>
      </c>
      <c r="L27" s="102">
        <f>19713.03/1000</f>
        <v>19.71303</v>
      </c>
      <c r="M27" s="118">
        <f>N27+O27</f>
        <v>30.376539999999999</v>
      </c>
      <c r="N27" s="102">
        <f>24006.76/1000</f>
        <v>24.00676</v>
      </c>
      <c r="O27" s="102">
        <f>6369.78/1000</f>
        <v>6.3697799999999996</v>
      </c>
      <c r="P27" s="118">
        <f>Q27+R27</f>
        <v>44.08108</v>
      </c>
      <c r="Q27" s="102">
        <f>37565.83/1000</f>
        <v>37.565829999999998</v>
      </c>
      <c r="R27" s="102">
        <f>6515.25/1000</f>
        <v>6.51525</v>
      </c>
      <c r="S27" s="118">
        <f>T27+U27</f>
        <v>104.29850999999999</v>
      </c>
      <c r="T27" s="102">
        <f>47442.39/1000</f>
        <v>47.442389999999996</v>
      </c>
      <c r="U27" s="102">
        <f>56856.12/1000</f>
        <v>56.856120000000004</v>
      </c>
      <c r="V27" s="101">
        <f>W27+X27</f>
        <v>105.56208000000001</v>
      </c>
      <c r="W27" s="102">
        <f>65409.08/1000</f>
        <v>65.409080000000003</v>
      </c>
      <c r="X27" s="102">
        <f>40153/1000</f>
        <v>40.152999999999999</v>
      </c>
      <c r="Y27" s="318">
        <f>Z27+AA27</f>
        <v>115.56</v>
      </c>
      <c r="Z27" s="318">
        <v>70.41</v>
      </c>
      <c r="AA27" s="318">
        <v>45.15</v>
      </c>
      <c r="AB27" s="318">
        <f>AC27+AD27</f>
        <v>112.65</v>
      </c>
      <c r="AC27" s="318">
        <v>69.14</v>
      </c>
      <c r="AD27" s="318">
        <v>43.51</v>
      </c>
      <c r="AE27" s="191">
        <f>AB27/F27</f>
        <v>9.3875000000000011</v>
      </c>
    </row>
    <row r="28" spans="1:31" s="105" customFormat="1">
      <c r="A28" s="99">
        <f t="shared" si="0"/>
        <v>23</v>
      </c>
      <c r="B28" s="99" t="s">
        <v>124</v>
      </c>
      <c r="C28" s="231" t="s">
        <v>98</v>
      </c>
      <c r="D28" s="230">
        <v>41</v>
      </c>
      <c r="E28" s="230" t="s">
        <v>20</v>
      </c>
      <c r="F28" s="230">
        <f>'[5]Реестр УК новый'!$G$380</f>
        <v>12</v>
      </c>
      <c r="G28" s="101"/>
      <c r="H28" s="102"/>
      <c r="I28" s="102"/>
      <c r="J28" s="118"/>
      <c r="K28" s="102"/>
      <c r="L28" s="102"/>
      <c r="M28" s="118">
        <f>N28+O28</f>
        <v>31.70589</v>
      </c>
      <c r="N28" s="102">
        <f>31705.89/1000</f>
        <v>31.70589</v>
      </c>
      <c r="O28" s="102"/>
      <c r="P28" s="118">
        <f>Q28+R28</f>
        <v>42.153120000000001</v>
      </c>
      <c r="Q28" s="102">
        <f>42153.12/1000</f>
        <v>42.153120000000001</v>
      </c>
      <c r="R28" s="102"/>
      <c r="S28" s="118">
        <f>T28+U28</f>
        <v>64.948689999999999</v>
      </c>
      <c r="T28" s="102">
        <f>64948.69/1000</f>
        <v>64.948689999999999</v>
      </c>
      <c r="U28" s="102"/>
      <c r="V28" s="101">
        <f>W28+X28</f>
        <v>120.42394999999999</v>
      </c>
      <c r="W28" s="102">
        <f>120423.95/1000</f>
        <v>120.42394999999999</v>
      </c>
      <c r="X28" s="102"/>
      <c r="Y28" s="318">
        <f>Z28+AA28</f>
        <v>112.42</v>
      </c>
      <c r="Z28" s="318">
        <v>112.42</v>
      </c>
      <c r="AA28" s="318"/>
      <c r="AB28" s="318">
        <f>AC28+AD28</f>
        <v>111.22</v>
      </c>
      <c r="AC28" s="318">
        <v>111.22</v>
      </c>
      <c r="AD28" s="318"/>
      <c r="AE28" s="191">
        <f>AB28/F28</f>
        <v>9.2683333333333326</v>
      </c>
    </row>
    <row r="29" spans="1:31" s="105" customFormat="1">
      <c r="A29" s="99">
        <f t="shared" si="0"/>
        <v>24</v>
      </c>
      <c r="B29" s="99" t="s">
        <v>124</v>
      </c>
      <c r="C29" s="228" t="s">
        <v>85</v>
      </c>
      <c r="D29" s="229">
        <v>7</v>
      </c>
      <c r="E29" s="230"/>
      <c r="F29" s="230">
        <f>'[5]Реестр УК новый'!$G$105</f>
        <v>12</v>
      </c>
      <c r="G29" s="101"/>
      <c r="H29" s="102"/>
      <c r="I29" s="102"/>
      <c r="J29" s="118">
        <f>K29+L29</f>
        <v>46.174629999999993</v>
      </c>
      <c r="K29" s="102">
        <f>45787.46/1000</f>
        <v>45.787459999999996</v>
      </c>
      <c r="L29" s="102">
        <f>387.17/1000</f>
        <v>0.38717000000000001</v>
      </c>
      <c r="M29" s="118">
        <f>N29+O29</f>
        <v>64.773780000000002</v>
      </c>
      <c r="N29" s="102">
        <f>64027.91/1000</f>
        <v>64.027910000000006</v>
      </c>
      <c r="O29" s="102">
        <f>745.87/1000</f>
        <v>0.74587000000000003</v>
      </c>
      <c r="P29" s="118">
        <f>Q29+R29</f>
        <v>87.059799999999996</v>
      </c>
      <c r="Q29" s="102">
        <f>86273.64/1000</f>
        <v>86.27364</v>
      </c>
      <c r="R29" s="102">
        <f>786.16/1000</f>
        <v>0.78615999999999997</v>
      </c>
      <c r="S29" s="118">
        <f>T29+U29</f>
        <v>92.569479999999999</v>
      </c>
      <c r="T29" s="102">
        <f>91671.66/1000</f>
        <v>91.671660000000003</v>
      </c>
      <c r="U29" s="102">
        <f>897.82/1000</f>
        <v>0.89782000000000006</v>
      </c>
      <c r="V29" s="101">
        <f>W29+X29</f>
        <v>124.31617</v>
      </c>
      <c r="W29" s="102">
        <f>122671.81/1000</f>
        <v>122.67180999999999</v>
      </c>
      <c r="X29" s="102">
        <f>1644.36/1000</f>
        <v>1.6443599999999998</v>
      </c>
      <c r="Y29" s="318">
        <f>Z29+AA29</f>
        <v>121.29</v>
      </c>
      <c r="Z29" s="318">
        <v>118.64</v>
      </c>
      <c r="AA29" s="318">
        <v>2.65</v>
      </c>
      <c r="AB29" s="318">
        <f>AC29+AD29</f>
        <v>110.86</v>
      </c>
      <c r="AC29" s="318">
        <v>109.64</v>
      </c>
      <c r="AD29" s="318">
        <v>1.22</v>
      </c>
      <c r="AE29" s="191">
        <f>AB29/F29</f>
        <v>9.2383333333333333</v>
      </c>
    </row>
    <row r="30" spans="1:31" s="105" customFormat="1">
      <c r="A30" s="99">
        <f t="shared" si="0"/>
        <v>25</v>
      </c>
      <c r="B30" s="99" t="s">
        <v>124</v>
      </c>
      <c r="C30" s="228" t="s">
        <v>19</v>
      </c>
      <c r="D30" s="229">
        <v>48</v>
      </c>
      <c r="E30" s="230"/>
      <c r="F30" s="230">
        <f>'[5]Реестр УК новый'!$G$136</f>
        <v>12</v>
      </c>
      <c r="G30" s="101">
        <f>22078.39/1000</f>
        <v>22.078389999999999</v>
      </c>
      <c r="H30" s="102">
        <f>18532.85/1000</f>
        <v>18.53285</v>
      </c>
      <c r="I30" s="102">
        <f>3545.54/1000</f>
        <v>3.5455399999999999</v>
      </c>
      <c r="J30" s="118">
        <f>K30+L30</f>
        <v>72.259410000000003</v>
      </c>
      <c r="K30" s="102">
        <f>42630.77/1000</f>
        <v>42.630769999999998</v>
      </c>
      <c r="L30" s="102">
        <f>29628.64/1000</f>
        <v>29.628640000000001</v>
      </c>
      <c r="M30" s="118">
        <f>N30+O30</f>
        <v>85.79937000000001</v>
      </c>
      <c r="N30" s="102">
        <f>50096.23/1000</f>
        <v>50.096230000000006</v>
      </c>
      <c r="O30" s="102">
        <f>35703.14/1000</f>
        <v>35.703139999999998</v>
      </c>
      <c r="P30" s="118">
        <f>Q30+R30</f>
        <v>126.61948</v>
      </c>
      <c r="Q30" s="102">
        <f>59601.58/1000</f>
        <v>59.601579999999998</v>
      </c>
      <c r="R30" s="102">
        <f>67017.9/1000</f>
        <v>67.017899999999997</v>
      </c>
      <c r="S30" s="118">
        <f>T30+U30</f>
        <v>147.78640999999999</v>
      </c>
      <c r="T30" s="102">
        <f>92161.4/1000</f>
        <v>92.1614</v>
      </c>
      <c r="U30" s="102">
        <f>55625.01/1000</f>
        <v>55.625010000000003</v>
      </c>
      <c r="V30" s="101">
        <f>W30+X30</f>
        <v>102.27974</v>
      </c>
      <c r="W30" s="102">
        <f>64464.91/1000</f>
        <v>64.464910000000003</v>
      </c>
      <c r="X30" s="102">
        <f>37814.83/1000</f>
        <v>37.814830000000001</v>
      </c>
      <c r="Y30" s="318">
        <f>Z30+AA30</f>
        <v>109.24</v>
      </c>
      <c r="Z30" s="318">
        <v>62.44</v>
      </c>
      <c r="AA30" s="318">
        <v>46.8</v>
      </c>
      <c r="AB30" s="318">
        <f>AC30+AD30</f>
        <v>110</v>
      </c>
      <c r="AC30" s="318">
        <v>65.849999999999994</v>
      </c>
      <c r="AD30" s="318">
        <v>44.15</v>
      </c>
      <c r="AE30" s="191">
        <f>AB30/F30</f>
        <v>9.1666666666666661</v>
      </c>
    </row>
    <row r="31" spans="1:31" s="105" customFormat="1">
      <c r="A31" s="99">
        <f t="shared" si="0"/>
        <v>26</v>
      </c>
      <c r="B31" s="99" t="s">
        <v>124</v>
      </c>
      <c r="C31" s="228" t="s">
        <v>85</v>
      </c>
      <c r="D31" s="229">
        <v>3</v>
      </c>
      <c r="E31" s="230"/>
      <c r="F31" s="230">
        <f>'[5]Реестр УК новый'!$G$102</f>
        <v>12</v>
      </c>
      <c r="G31" s="101"/>
      <c r="H31" s="102"/>
      <c r="I31" s="102"/>
      <c r="J31" s="118">
        <f>K31+L31</f>
        <v>51.629439999999995</v>
      </c>
      <c r="K31" s="102">
        <f>51004.56/1000</f>
        <v>51.004559999999998</v>
      </c>
      <c r="L31" s="102">
        <f>624.88/1000</f>
        <v>0.62487999999999999</v>
      </c>
      <c r="M31" s="118">
        <f>N31+O31</f>
        <v>68.712319999999991</v>
      </c>
      <c r="N31" s="102">
        <f>70323.45/1000</f>
        <v>70.323449999999994</v>
      </c>
      <c r="O31" s="102">
        <f>-1611.13/1000</f>
        <v>-1.6111300000000002</v>
      </c>
      <c r="P31" s="118">
        <f>Q31+R31</f>
        <v>68.481709999999993</v>
      </c>
      <c r="Q31" s="102">
        <f>70247.7/1000</f>
        <v>70.247699999999995</v>
      </c>
      <c r="R31" s="102">
        <f>-1765.99/1000</f>
        <v>-1.7659899999999999</v>
      </c>
      <c r="S31" s="118">
        <f>T31+U31</f>
        <v>85.357790000000008</v>
      </c>
      <c r="T31" s="102">
        <f>87038.8/1000</f>
        <v>87.038800000000009</v>
      </c>
      <c r="U31" s="102">
        <f>-1681.01/1000</f>
        <v>-1.6810099999999999</v>
      </c>
      <c r="V31" s="101">
        <f>W31+X31</f>
        <v>114.13145000000002</v>
      </c>
      <c r="W31" s="102">
        <f>115743.27/1000</f>
        <v>115.74327000000001</v>
      </c>
      <c r="X31" s="102">
        <f>-1611.82/1000</f>
        <v>-1.61182</v>
      </c>
      <c r="Y31" s="318">
        <f>Z31+AA31</f>
        <v>118.32</v>
      </c>
      <c r="Z31" s="318">
        <v>116.72</v>
      </c>
      <c r="AA31" s="318">
        <v>1.6</v>
      </c>
      <c r="AB31" s="318">
        <f>AC31+AD31</f>
        <v>106.28</v>
      </c>
      <c r="AC31" s="318">
        <v>106.12</v>
      </c>
      <c r="AD31" s="318">
        <v>0.16</v>
      </c>
      <c r="AE31" s="191">
        <f>AB31/F31</f>
        <v>8.8566666666666674</v>
      </c>
    </row>
    <row r="32" spans="1:31" s="105" customFormat="1">
      <c r="A32" s="99">
        <f t="shared" si="0"/>
        <v>27</v>
      </c>
      <c r="B32" s="99" t="s">
        <v>124</v>
      </c>
      <c r="C32" s="228" t="s">
        <v>51</v>
      </c>
      <c r="D32" s="229">
        <v>8</v>
      </c>
      <c r="E32" s="230"/>
      <c r="F32" s="230">
        <f>'[5]Реестр УК новый'!$G$173</f>
        <v>12</v>
      </c>
      <c r="G32" s="101"/>
      <c r="H32" s="102"/>
      <c r="I32" s="102"/>
      <c r="J32" s="118"/>
      <c r="K32" s="102"/>
      <c r="L32" s="102"/>
      <c r="M32" s="118">
        <f>N32+O32</f>
        <v>39.313499999999998</v>
      </c>
      <c r="N32" s="102">
        <f>39313.5/1000</f>
        <v>39.313499999999998</v>
      </c>
      <c r="O32" s="102"/>
      <c r="P32" s="118">
        <f>Q32+R32</f>
        <v>72.903310000000005</v>
      </c>
      <c r="Q32" s="102">
        <f>72903.31/1000</f>
        <v>72.903310000000005</v>
      </c>
      <c r="R32" s="102"/>
      <c r="S32" s="118">
        <f>T32+U32</f>
        <v>83.522000000000006</v>
      </c>
      <c r="T32" s="102">
        <f>83522/1000</f>
        <v>83.522000000000006</v>
      </c>
      <c r="U32" s="102"/>
      <c r="V32" s="101">
        <f>W32+X32</f>
        <v>106.61818</v>
      </c>
      <c r="W32" s="102">
        <f>106618.18/1000</f>
        <v>106.61818</v>
      </c>
      <c r="X32" s="102"/>
      <c r="Y32" s="318">
        <f>Z32+AA32</f>
        <v>110.82</v>
      </c>
      <c r="Z32" s="318">
        <v>110.82</v>
      </c>
      <c r="AA32" s="318"/>
      <c r="AB32" s="318">
        <f>AC32+AD32</f>
        <v>101.28</v>
      </c>
      <c r="AC32" s="318">
        <v>101.28</v>
      </c>
      <c r="AD32" s="318"/>
      <c r="AE32" s="191">
        <f>AB32/F32</f>
        <v>8.44</v>
      </c>
    </row>
    <row r="33" spans="1:31" s="105" customFormat="1">
      <c r="A33" s="99">
        <f t="shared" si="0"/>
        <v>28</v>
      </c>
      <c r="B33" s="99" t="s">
        <v>124</v>
      </c>
      <c r="C33" s="231" t="s">
        <v>37</v>
      </c>
      <c r="D33" s="230">
        <v>13</v>
      </c>
      <c r="E33" s="230"/>
      <c r="F33" s="230">
        <f>'[5]Реестр УК новый'!$G$209</f>
        <v>12</v>
      </c>
      <c r="G33" s="101"/>
      <c r="H33" s="102"/>
      <c r="I33" s="102"/>
      <c r="J33" s="118"/>
      <c r="K33" s="102"/>
      <c r="L33" s="102"/>
      <c r="M33" s="118">
        <f>N33+O33</f>
        <v>41.199379999999998</v>
      </c>
      <c r="N33" s="102">
        <f>41199.38/1000</f>
        <v>41.199379999999998</v>
      </c>
      <c r="O33" s="102"/>
      <c r="P33" s="118">
        <f>Q33+R33</f>
        <v>75.472889999999992</v>
      </c>
      <c r="Q33" s="102">
        <f>75472.89/1000</f>
        <v>75.472889999999992</v>
      </c>
      <c r="R33" s="102"/>
      <c r="S33" s="118">
        <f>T33+U33</f>
        <v>87.585419999999999</v>
      </c>
      <c r="T33" s="102">
        <f>87585.42/1000</f>
        <v>87.585419999999999</v>
      </c>
      <c r="U33" s="102"/>
      <c r="V33" s="101">
        <f>W33+X33</f>
        <v>94.887249999999995</v>
      </c>
      <c r="W33" s="102">
        <f>94887.25/1000</f>
        <v>94.887249999999995</v>
      </c>
      <c r="X33" s="102"/>
      <c r="Y33" s="318">
        <f>Z33+AA33</f>
        <v>102.89</v>
      </c>
      <c r="Z33" s="318">
        <v>102.89</v>
      </c>
      <c r="AA33" s="318"/>
      <c r="AB33" s="318">
        <f>AC33+AD33</f>
        <v>101.25</v>
      </c>
      <c r="AC33" s="318">
        <v>101.25</v>
      </c>
      <c r="AD33" s="318"/>
      <c r="AE33" s="191">
        <f>AB33/F33</f>
        <v>8.4375</v>
      </c>
    </row>
    <row r="34" spans="1:31" s="105" customFormat="1">
      <c r="A34" s="99">
        <f t="shared" si="0"/>
        <v>29</v>
      </c>
      <c r="B34" s="99" t="s">
        <v>124</v>
      </c>
      <c r="C34" s="231" t="s">
        <v>94</v>
      </c>
      <c r="D34" s="230">
        <v>11</v>
      </c>
      <c r="E34" s="230"/>
      <c r="F34" s="230">
        <f>'[5]Реестр УК новый'!$G$327</f>
        <v>16</v>
      </c>
      <c r="G34" s="101"/>
      <c r="H34" s="102"/>
      <c r="I34" s="102"/>
      <c r="J34" s="118">
        <f>K34+L34</f>
        <v>72.476420000000005</v>
      </c>
      <c r="K34" s="102">
        <f>48160.04/1000</f>
        <v>48.160040000000002</v>
      </c>
      <c r="L34" s="102">
        <f>24316.38/1000</f>
        <v>24.316380000000002</v>
      </c>
      <c r="M34" s="118">
        <f>N34+O34</f>
        <v>89.899799999999999</v>
      </c>
      <c r="N34" s="102">
        <f>59293.76/1000</f>
        <v>59.293759999999999</v>
      </c>
      <c r="O34" s="102">
        <f>30606.04/1000</f>
        <v>30.60604</v>
      </c>
      <c r="P34" s="118">
        <f>Q34+R34</f>
        <v>92.678470000000004</v>
      </c>
      <c r="Q34" s="102">
        <f>59377.23/1000</f>
        <v>59.377230000000004</v>
      </c>
      <c r="R34" s="102">
        <f>33301.24/1000</f>
        <v>33.30124</v>
      </c>
      <c r="S34" s="118">
        <f>T34+U34</f>
        <v>97.906570000000002</v>
      </c>
      <c r="T34" s="102">
        <f>61593.47/1000</f>
        <v>61.593470000000003</v>
      </c>
      <c r="U34" s="102">
        <f>36313.1/1000</f>
        <v>36.313099999999999</v>
      </c>
      <c r="V34" s="101">
        <f>W34+X34</f>
        <v>118.69388000000001</v>
      </c>
      <c r="W34" s="102">
        <f>88371.41/1000</f>
        <v>88.371409999999997</v>
      </c>
      <c r="X34" s="102">
        <f>30322.47/1000</f>
        <v>30.322470000000003</v>
      </c>
      <c r="Y34" s="318">
        <f>Z34+AA34</f>
        <v>131.33000000000001</v>
      </c>
      <c r="Z34" s="318">
        <v>90.37</v>
      </c>
      <c r="AA34" s="318">
        <v>40.96</v>
      </c>
      <c r="AB34" s="318">
        <f>AC34+AD34</f>
        <v>132.42000000000002</v>
      </c>
      <c r="AC34" s="318">
        <v>92.73</v>
      </c>
      <c r="AD34" s="318">
        <v>39.69</v>
      </c>
      <c r="AE34" s="191">
        <f>AB34/F34</f>
        <v>8.276250000000001</v>
      </c>
    </row>
    <row r="35" spans="1:31" s="105" customFormat="1">
      <c r="A35" s="99">
        <f t="shared" si="0"/>
        <v>30</v>
      </c>
      <c r="B35" s="99" t="s">
        <v>124</v>
      </c>
      <c r="C35" s="231" t="s">
        <v>94</v>
      </c>
      <c r="D35" s="230">
        <v>3</v>
      </c>
      <c r="E35" s="230"/>
      <c r="F35" s="230">
        <f>'[5]Реестр УК новый'!$G$322</f>
        <v>12</v>
      </c>
      <c r="G35" s="101"/>
      <c r="H35" s="102"/>
      <c r="I35" s="102"/>
      <c r="J35" s="118"/>
      <c r="K35" s="102"/>
      <c r="L35" s="102"/>
      <c r="M35" s="118"/>
      <c r="N35" s="102"/>
      <c r="O35" s="102"/>
      <c r="P35" s="118"/>
      <c r="Q35" s="102"/>
      <c r="R35" s="102"/>
      <c r="S35" s="118">
        <f>T35+U35</f>
        <v>82.3459</v>
      </c>
      <c r="T35" s="102">
        <f>37725.57/1000</f>
        <v>37.725569999999998</v>
      </c>
      <c r="U35" s="102">
        <f>44620.33/1000</f>
        <v>44.620330000000003</v>
      </c>
      <c r="V35" s="101">
        <f>W35+X35</f>
        <v>86.94480999999999</v>
      </c>
      <c r="W35" s="102">
        <f>76285.31/1000</f>
        <v>76.285309999999996</v>
      </c>
      <c r="X35" s="102">
        <f>10659.5/1000</f>
        <v>10.6595</v>
      </c>
      <c r="Y35" s="318">
        <f>Z35+AA35</f>
        <v>101.41</v>
      </c>
      <c r="Z35" s="318">
        <v>80.75</v>
      </c>
      <c r="AA35" s="318">
        <v>20.66</v>
      </c>
      <c r="AB35" s="318">
        <f>AC35+AD35</f>
        <v>97.289999999999992</v>
      </c>
      <c r="AC35" s="318">
        <v>79.739999999999995</v>
      </c>
      <c r="AD35" s="318">
        <v>17.55</v>
      </c>
      <c r="AE35" s="191">
        <f>AB35/F35</f>
        <v>8.1074999999999999</v>
      </c>
    </row>
    <row r="36" spans="1:31" s="105" customFormat="1">
      <c r="A36" s="99">
        <f t="shared" si="0"/>
        <v>31</v>
      </c>
      <c r="B36" s="99" t="s">
        <v>124</v>
      </c>
      <c r="C36" s="231" t="s">
        <v>75</v>
      </c>
      <c r="D36" s="230">
        <v>4</v>
      </c>
      <c r="E36" s="230"/>
      <c r="F36" s="230">
        <f>'[5]Реестр УК новый'!$G$227</f>
        <v>8</v>
      </c>
      <c r="G36" s="101"/>
      <c r="H36" s="102"/>
      <c r="I36" s="102"/>
      <c r="J36" s="118"/>
      <c r="K36" s="102"/>
      <c r="L36" s="102"/>
      <c r="M36" s="118">
        <f>N36+O36</f>
        <v>29.558199999999999</v>
      </c>
      <c r="N36" s="102">
        <f>29558.2/1000</f>
        <v>29.558199999999999</v>
      </c>
      <c r="O36" s="102"/>
      <c r="P36" s="118">
        <f>Q36+R36</f>
        <v>45.528400000000005</v>
      </c>
      <c r="Q36" s="102">
        <f>45528.4/1000</f>
        <v>45.528400000000005</v>
      </c>
      <c r="R36" s="102"/>
      <c r="S36" s="118">
        <f>T36+U36</f>
        <v>56.312379999999997</v>
      </c>
      <c r="T36" s="102">
        <f>56312.38/1000</f>
        <v>56.312379999999997</v>
      </c>
      <c r="U36" s="102"/>
      <c r="V36" s="101">
        <f>W36+X36</f>
        <v>67.718050000000005</v>
      </c>
      <c r="W36" s="102">
        <f>67718.05/1000</f>
        <v>67.718050000000005</v>
      </c>
      <c r="X36" s="102"/>
      <c r="Y36" s="318">
        <f>Z36+AA36</f>
        <v>66.010000000000005</v>
      </c>
      <c r="Z36" s="318">
        <v>66.010000000000005</v>
      </c>
      <c r="AA36" s="318"/>
      <c r="AB36" s="318">
        <f>AC36+AD36</f>
        <v>60.32</v>
      </c>
      <c r="AC36" s="318">
        <v>60.32</v>
      </c>
      <c r="AD36" s="318"/>
      <c r="AE36" s="191">
        <f>AB36/F36</f>
        <v>7.54</v>
      </c>
    </row>
    <row r="37" spans="1:31" s="105" customFormat="1">
      <c r="A37" s="99">
        <f t="shared" si="0"/>
        <v>32</v>
      </c>
      <c r="B37" s="99" t="s">
        <v>124</v>
      </c>
      <c r="C37" s="228" t="s">
        <v>85</v>
      </c>
      <c r="D37" s="229">
        <v>8</v>
      </c>
      <c r="E37" s="230"/>
      <c r="F37" s="230">
        <f>'[5]Реестр УК новый'!$G$106</f>
        <v>12</v>
      </c>
      <c r="G37" s="101"/>
      <c r="H37" s="102"/>
      <c r="I37" s="102"/>
      <c r="J37" s="118">
        <f>K37+L37</f>
        <v>89.878740000000008</v>
      </c>
      <c r="K37" s="102">
        <f>44553.83/1000</f>
        <v>44.553830000000005</v>
      </c>
      <c r="L37" s="102">
        <f>45324.91/1000</f>
        <v>45.324910000000003</v>
      </c>
      <c r="M37" s="118">
        <f>N37+O37</f>
        <v>50.510689999999997</v>
      </c>
      <c r="N37" s="102">
        <f>40773.17/1000</f>
        <v>40.77317</v>
      </c>
      <c r="O37" s="102">
        <f>9737.52/1000</f>
        <v>9.73752</v>
      </c>
      <c r="P37" s="118">
        <f>Q37+R37</f>
        <v>45.879310000000004</v>
      </c>
      <c r="Q37" s="102">
        <f>35646.25/1000</f>
        <v>35.646250000000002</v>
      </c>
      <c r="R37" s="102">
        <f>10233.06/1000</f>
        <v>10.23306</v>
      </c>
      <c r="S37" s="118">
        <f>T37+U37</f>
        <v>88.382990000000007</v>
      </c>
      <c r="T37" s="102">
        <f>39578.19/1000</f>
        <v>39.578189999999999</v>
      </c>
      <c r="U37" s="102">
        <f>48804.8/1000</f>
        <v>48.8048</v>
      </c>
      <c r="V37" s="101">
        <f>W37+X37</f>
        <v>103.06263999999999</v>
      </c>
      <c r="W37" s="102">
        <f>45106.27/1000</f>
        <v>45.106269999999995</v>
      </c>
      <c r="X37" s="102">
        <f>57956.37/1000</f>
        <v>57.95637</v>
      </c>
      <c r="Y37" s="318">
        <f>Z37+AA37</f>
        <v>93.08</v>
      </c>
      <c r="Z37" s="318">
        <v>40.11</v>
      </c>
      <c r="AA37" s="318">
        <v>52.97</v>
      </c>
      <c r="AB37" s="318">
        <f>AC37+AD37</f>
        <v>87.11</v>
      </c>
      <c r="AC37" s="318">
        <v>38.119999999999997</v>
      </c>
      <c r="AD37" s="318">
        <v>48.99</v>
      </c>
      <c r="AE37" s="191">
        <f>AB37/F37</f>
        <v>7.2591666666666663</v>
      </c>
    </row>
    <row r="38" spans="1:31" s="105" customFormat="1">
      <c r="A38" s="99">
        <f t="shared" si="0"/>
        <v>33</v>
      </c>
      <c r="B38" s="99" t="s">
        <v>124</v>
      </c>
      <c r="C38" s="231" t="s">
        <v>98</v>
      </c>
      <c r="D38" s="230">
        <v>36</v>
      </c>
      <c r="E38" s="230"/>
      <c r="F38" s="230">
        <f>'[5]Реестр УК новый'!$G$368</f>
        <v>12</v>
      </c>
      <c r="G38" s="101"/>
      <c r="H38" s="102"/>
      <c r="I38" s="102"/>
      <c r="J38" s="118"/>
      <c r="K38" s="102"/>
      <c r="L38" s="102"/>
      <c r="M38" s="118">
        <f>N38+O38</f>
        <v>26.331479999999999</v>
      </c>
      <c r="N38" s="102">
        <f>26331.48/1000</f>
        <v>26.331479999999999</v>
      </c>
      <c r="O38" s="102"/>
      <c r="P38" s="118">
        <f>Q38+R38</f>
        <v>39.71604</v>
      </c>
      <c r="Q38" s="102">
        <f>39716.04/1000</f>
        <v>39.71604</v>
      </c>
      <c r="R38" s="102"/>
      <c r="S38" s="118">
        <f>T38+U38</f>
        <v>54.395029999999998</v>
      </c>
      <c r="T38" s="102">
        <f>54395.03/1000</f>
        <v>54.395029999999998</v>
      </c>
      <c r="U38" s="102"/>
      <c r="V38" s="101">
        <f>W38+X38</f>
        <v>83.859390000000005</v>
      </c>
      <c r="W38" s="102">
        <f>83859.39/1000</f>
        <v>83.859390000000005</v>
      </c>
      <c r="X38" s="102"/>
      <c r="Y38" s="318">
        <f>Z38+AA38</f>
        <v>85.86</v>
      </c>
      <c r="Z38" s="318">
        <v>85.86</v>
      </c>
      <c r="AA38" s="318"/>
      <c r="AB38" s="318">
        <f>AC38+AD38</f>
        <v>86.68</v>
      </c>
      <c r="AC38" s="318">
        <v>86.68</v>
      </c>
      <c r="AD38" s="318"/>
      <c r="AE38" s="191">
        <f>AB38/F38</f>
        <v>7.2233333333333336</v>
      </c>
    </row>
    <row r="39" spans="1:31" s="105" customFormat="1">
      <c r="A39" s="99">
        <f t="shared" si="0"/>
        <v>34</v>
      </c>
      <c r="B39" s="99" t="s">
        <v>124</v>
      </c>
      <c r="C39" s="228" t="s">
        <v>31</v>
      </c>
      <c r="D39" s="229">
        <v>46</v>
      </c>
      <c r="E39" s="230"/>
      <c r="F39" s="230">
        <f>'[5]Реестр УК новый'!$G$32</f>
        <v>12</v>
      </c>
      <c r="G39" s="118"/>
      <c r="H39" s="119"/>
      <c r="I39" s="119"/>
      <c r="J39" s="118">
        <f>K39+L39</f>
        <v>80.287779999999998</v>
      </c>
      <c r="K39" s="119">
        <f>57175.8/1000</f>
        <v>57.175800000000002</v>
      </c>
      <c r="L39" s="119">
        <f>23111.98/1000</f>
        <v>23.111979999999999</v>
      </c>
      <c r="M39" s="118">
        <f>N39+O39</f>
        <v>83.503720000000001</v>
      </c>
      <c r="N39" s="119">
        <f>56506.78/1000</f>
        <v>56.506779999999999</v>
      </c>
      <c r="O39" s="119">
        <f>26996.94/1000</f>
        <v>26.996939999999999</v>
      </c>
      <c r="P39" s="118">
        <f>Q39+R39</f>
        <v>103.87864999999999</v>
      </c>
      <c r="Q39" s="119">
        <f>68770.79/1000</f>
        <v>68.770789999999991</v>
      </c>
      <c r="R39" s="119">
        <f>35107.86/1000</f>
        <v>35.107860000000002</v>
      </c>
      <c r="S39" s="118">
        <f>T39+U39</f>
        <v>85.706699999999998</v>
      </c>
      <c r="T39" s="119">
        <f>58166.73/1000</f>
        <v>58.166730000000001</v>
      </c>
      <c r="U39" s="119">
        <f>27539.97/1000</f>
        <v>27.53997</v>
      </c>
      <c r="V39" s="118">
        <f>W39+X39</f>
        <v>82.89349</v>
      </c>
      <c r="W39" s="119">
        <f>63981.55/1000</f>
        <v>63.981550000000006</v>
      </c>
      <c r="X39" s="119">
        <f>18911.94/1000</f>
        <v>18.911939999999998</v>
      </c>
      <c r="Y39" s="318">
        <f>Z39+AA39</f>
        <v>91.04</v>
      </c>
      <c r="Z39" s="318">
        <v>61.13</v>
      </c>
      <c r="AA39" s="318">
        <v>29.91</v>
      </c>
      <c r="AB39" s="318">
        <f>AC39+AD39</f>
        <v>85.77000000000001</v>
      </c>
      <c r="AC39" s="318">
        <v>60.52</v>
      </c>
      <c r="AD39" s="318">
        <v>25.25</v>
      </c>
      <c r="AE39" s="191">
        <f>AB39/F39</f>
        <v>7.1475000000000009</v>
      </c>
    </row>
    <row r="40" spans="1:31" s="105" customFormat="1">
      <c r="A40" s="99">
        <f t="shared" si="0"/>
        <v>35</v>
      </c>
      <c r="B40" s="99" t="s">
        <v>124</v>
      </c>
      <c r="C40" s="231" t="s">
        <v>98</v>
      </c>
      <c r="D40" s="230">
        <v>47</v>
      </c>
      <c r="E40" s="230"/>
      <c r="F40" s="230">
        <f>'[5]Реестр УК новый'!$G$375</f>
        <v>12</v>
      </c>
      <c r="G40" s="101"/>
      <c r="H40" s="102"/>
      <c r="I40" s="102"/>
      <c r="J40" s="118">
        <f>K40+L40</f>
        <v>51.659769999999995</v>
      </c>
      <c r="K40" s="102">
        <f>40510.83/1000</f>
        <v>40.510829999999999</v>
      </c>
      <c r="L40" s="102">
        <f>11148.94/1000</f>
        <v>11.14894</v>
      </c>
      <c r="M40" s="118">
        <f>N40+O40</f>
        <v>44.616330000000005</v>
      </c>
      <c r="N40" s="102">
        <f>36452.04/1000</f>
        <v>36.452040000000004</v>
      </c>
      <c r="O40" s="102">
        <f>8164.29/1000</f>
        <v>8.1642899999999994</v>
      </c>
      <c r="P40" s="118">
        <f>Q40+R40</f>
        <v>89.547160000000005</v>
      </c>
      <c r="Q40" s="102">
        <f>57579.79/1000</f>
        <v>57.579790000000003</v>
      </c>
      <c r="R40" s="102">
        <f>31967.37/1000</f>
        <v>31.967369999999999</v>
      </c>
      <c r="S40" s="118">
        <f>T40+U40</f>
        <v>98.68907999999999</v>
      </c>
      <c r="T40" s="102">
        <f>61065.77/1000</f>
        <v>61.065769999999993</v>
      </c>
      <c r="U40" s="102">
        <f>37623.31/1000</f>
        <v>37.623309999999996</v>
      </c>
      <c r="V40" s="101">
        <f>W40+X40</f>
        <v>68.550309999999996</v>
      </c>
      <c r="W40" s="102">
        <f>51150.25/1000</f>
        <v>51.15025</v>
      </c>
      <c r="X40" s="102">
        <f>17400.06/1000</f>
        <v>17.40006</v>
      </c>
      <c r="Y40" s="318">
        <f>Z40+AA40</f>
        <v>86.22</v>
      </c>
      <c r="Z40" s="318">
        <v>50.15</v>
      </c>
      <c r="AA40" s="318">
        <v>36.07</v>
      </c>
      <c r="AB40" s="318">
        <f>AC40+AD40</f>
        <v>84.66</v>
      </c>
      <c r="AC40" s="318">
        <v>51.61</v>
      </c>
      <c r="AD40" s="318">
        <v>33.049999999999997</v>
      </c>
      <c r="AE40" s="191">
        <f>AB40/F40</f>
        <v>7.0549999999999997</v>
      </c>
    </row>
    <row r="41" spans="1:31" s="105" customFormat="1">
      <c r="A41" s="99">
        <f t="shared" si="0"/>
        <v>36</v>
      </c>
      <c r="B41" s="99" t="s">
        <v>124</v>
      </c>
      <c r="C41" s="231" t="s">
        <v>98</v>
      </c>
      <c r="D41" s="230">
        <v>18</v>
      </c>
      <c r="E41" s="230"/>
      <c r="F41" s="230">
        <f>'[5]Реестр УК новый'!$G$358</f>
        <v>12</v>
      </c>
      <c r="G41" s="101"/>
      <c r="H41" s="102"/>
      <c r="I41" s="102"/>
      <c r="J41" s="118"/>
      <c r="K41" s="102"/>
      <c r="L41" s="102"/>
      <c r="M41" s="118">
        <f>N41+O41</f>
        <v>45.653620000000004</v>
      </c>
      <c r="N41" s="102">
        <f>45653.62/1000</f>
        <v>45.653620000000004</v>
      </c>
      <c r="O41" s="102"/>
      <c r="P41" s="118">
        <f>Q41+R41</f>
        <v>61.900410000000001</v>
      </c>
      <c r="Q41" s="102">
        <f>61900.41/1000</f>
        <v>61.900410000000001</v>
      </c>
      <c r="R41" s="102"/>
      <c r="S41" s="118">
        <f>T41+U41</f>
        <v>79.363399999999999</v>
      </c>
      <c r="T41" s="102">
        <f>79363.4/1000</f>
        <v>79.363399999999999</v>
      </c>
      <c r="U41" s="102"/>
      <c r="V41" s="101">
        <f>W41+X41</f>
        <v>81.243700000000004</v>
      </c>
      <c r="W41" s="102">
        <f>81243.7/1000</f>
        <v>81.243700000000004</v>
      </c>
      <c r="X41" s="102"/>
      <c r="Y41" s="318">
        <f>Z41+AA41</f>
        <v>82.24</v>
      </c>
      <c r="Z41" s="318">
        <v>82.24</v>
      </c>
      <c r="AA41" s="318"/>
      <c r="AB41" s="318">
        <f>AC41+AD41</f>
        <v>81.42</v>
      </c>
      <c r="AC41" s="318">
        <v>81.42</v>
      </c>
      <c r="AD41" s="318"/>
      <c r="AE41" s="191">
        <f>AB41/F41</f>
        <v>6.7850000000000001</v>
      </c>
    </row>
    <row r="42" spans="1:31" s="105" customFormat="1">
      <c r="A42" s="99">
        <f t="shared" si="0"/>
        <v>37</v>
      </c>
      <c r="B42" s="99" t="s">
        <v>124</v>
      </c>
      <c r="C42" s="228" t="s">
        <v>86</v>
      </c>
      <c r="D42" s="229">
        <v>2</v>
      </c>
      <c r="E42" s="230"/>
      <c r="F42" s="230">
        <f>'[5]Реестр УК новый'!$G$115</f>
        <v>8</v>
      </c>
      <c r="G42" s="101"/>
      <c r="H42" s="102"/>
      <c r="I42" s="102"/>
      <c r="J42" s="118"/>
      <c r="K42" s="102"/>
      <c r="L42" s="102"/>
      <c r="M42" s="118">
        <f>N42+O42</f>
        <v>28.421130000000002</v>
      </c>
      <c r="N42" s="102">
        <f>28146.58/1000</f>
        <v>28.14658</v>
      </c>
      <c r="O42" s="102">
        <f>274.55/1000</f>
        <v>0.27455000000000002</v>
      </c>
      <c r="P42" s="118">
        <f>Q42+R42</f>
        <v>48.898849999999996</v>
      </c>
      <c r="Q42" s="102">
        <f>47446.65/1000</f>
        <v>47.446649999999998</v>
      </c>
      <c r="R42" s="102">
        <f>1452.2/1000</f>
        <v>1.4521999999999999</v>
      </c>
      <c r="S42" s="118">
        <f>T42+U42</f>
        <v>58.407150000000001</v>
      </c>
      <c r="T42" s="102">
        <f>57745.7/1000</f>
        <v>57.745699999999999</v>
      </c>
      <c r="U42" s="102">
        <f>661.45/1000</f>
        <v>0.66145000000000009</v>
      </c>
      <c r="V42" s="101">
        <f>W42+X42</f>
        <v>62.246690000000001</v>
      </c>
      <c r="W42" s="102">
        <f>61439.19/1000</f>
        <v>61.439190000000004</v>
      </c>
      <c r="X42" s="102">
        <f>807.5/1000</f>
        <v>0.8075</v>
      </c>
      <c r="Y42" s="318">
        <f>Z42+AA42</f>
        <v>60.529999999999994</v>
      </c>
      <c r="Z42" s="318">
        <v>59.62</v>
      </c>
      <c r="AA42" s="318">
        <v>0.91</v>
      </c>
      <c r="AB42" s="318">
        <f>AC42+AD42</f>
        <v>53.56</v>
      </c>
      <c r="AC42" s="318">
        <v>52.63</v>
      </c>
      <c r="AD42" s="318">
        <v>0.93</v>
      </c>
      <c r="AE42" s="191">
        <f>AB42/F42</f>
        <v>6.6950000000000003</v>
      </c>
    </row>
    <row r="43" spans="1:31" s="105" customFormat="1">
      <c r="A43" s="99">
        <f t="shared" si="0"/>
        <v>38</v>
      </c>
      <c r="B43" s="99" t="s">
        <v>124</v>
      </c>
      <c r="C43" s="231" t="s">
        <v>98</v>
      </c>
      <c r="D43" s="230">
        <v>30</v>
      </c>
      <c r="E43" s="230"/>
      <c r="F43" s="230">
        <f>'[5]Реестр УК новый'!$G$363</f>
        <v>12</v>
      </c>
      <c r="G43" s="101"/>
      <c r="H43" s="102"/>
      <c r="I43" s="102"/>
      <c r="J43" s="118"/>
      <c r="K43" s="102"/>
      <c r="L43" s="102"/>
      <c r="M43" s="118">
        <f>N43+O43</f>
        <v>38.149879999999996</v>
      </c>
      <c r="N43" s="102">
        <f>38149.88/1000</f>
        <v>38.149879999999996</v>
      </c>
      <c r="O43" s="102"/>
      <c r="P43" s="118">
        <f>Q43+R43</f>
        <v>61.048790000000004</v>
      </c>
      <c r="Q43" s="102">
        <f>61048.79/1000</f>
        <v>61.048790000000004</v>
      </c>
      <c r="R43" s="102"/>
      <c r="S43" s="118">
        <f>T43+U43</f>
        <v>81.534210000000002</v>
      </c>
      <c r="T43" s="102">
        <f>81534.21/1000</f>
        <v>81.534210000000002</v>
      </c>
      <c r="U43" s="102"/>
      <c r="V43" s="101">
        <f>W43+X43</f>
        <v>79.139099999999999</v>
      </c>
      <c r="W43" s="102">
        <f>79139.1/1000</f>
        <v>79.139099999999999</v>
      </c>
      <c r="X43" s="102"/>
      <c r="Y43" s="318">
        <f>Z43+AA43</f>
        <v>77.14</v>
      </c>
      <c r="Z43" s="318">
        <v>77.14</v>
      </c>
      <c r="AA43" s="318"/>
      <c r="AB43" s="318">
        <f>AC43+AD43</f>
        <v>78.14</v>
      </c>
      <c r="AC43" s="318">
        <v>78.14</v>
      </c>
      <c r="AD43" s="318"/>
      <c r="AE43" s="191">
        <f>AB43/F43</f>
        <v>6.5116666666666667</v>
      </c>
    </row>
    <row r="44" spans="1:31" s="105" customFormat="1">
      <c r="A44" s="99">
        <f t="shared" si="0"/>
        <v>39</v>
      </c>
      <c r="B44" s="99" t="s">
        <v>124</v>
      </c>
      <c r="C44" s="231" t="s">
        <v>94</v>
      </c>
      <c r="D44" s="230">
        <v>10</v>
      </c>
      <c r="E44" s="230"/>
      <c r="F44" s="230">
        <f>'[5]Реестр УК новый'!$G$326</f>
        <v>12</v>
      </c>
      <c r="G44" s="101"/>
      <c r="H44" s="102"/>
      <c r="I44" s="102"/>
      <c r="J44" s="118"/>
      <c r="K44" s="102"/>
      <c r="L44" s="102"/>
      <c r="M44" s="118">
        <f>N44+O44</f>
        <v>34.203110000000002</v>
      </c>
      <c r="N44" s="102">
        <f>34203.11/1000</f>
        <v>34.203110000000002</v>
      </c>
      <c r="O44" s="102"/>
      <c r="P44" s="118">
        <f>Q44+R44</f>
        <v>45.07602</v>
      </c>
      <c r="Q44" s="102">
        <f>45076.02/1000</f>
        <v>45.07602</v>
      </c>
      <c r="R44" s="102"/>
      <c r="S44" s="118">
        <f>T44+U44</f>
        <v>48.010849999999998</v>
      </c>
      <c r="T44" s="102">
        <f>48010.85/1000</f>
        <v>48.010849999999998</v>
      </c>
      <c r="U44" s="102"/>
      <c r="V44" s="101">
        <f>W44+X44</f>
        <v>76.811189999999996</v>
      </c>
      <c r="W44" s="102">
        <f>76811.19/1000</f>
        <v>76.811189999999996</v>
      </c>
      <c r="X44" s="102"/>
      <c r="Y44" s="318">
        <f>Z44+AA44</f>
        <v>77.81</v>
      </c>
      <c r="Z44" s="318">
        <v>77.81</v>
      </c>
      <c r="AA44" s="318"/>
      <c r="AB44" s="318">
        <f>AC44+AD44</f>
        <v>76.180000000000007</v>
      </c>
      <c r="AC44" s="318">
        <v>76.180000000000007</v>
      </c>
      <c r="AD44" s="318"/>
      <c r="AE44" s="191">
        <f>AB44/F44</f>
        <v>6.3483333333333336</v>
      </c>
    </row>
    <row r="45" spans="1:31" s="105" customFormat="1">
      <c r="A45" s="99">
        <f t="shared" si="0"/>
        <v>40</v>
      </c>
      <c r="B45" s="99" t="s">
        <v>124</v>
      </c>
      <c r="C45" s="231" t="s">
        <v>128</v>
      </c>
      <c r="D45" s="230">
        <v>3</v>
      </c>
      <c r="E45" s="230"/>
      <c r="F45" s="230">
        <f>'[5]Реестр УК новый'!$G$306</f>
        <v>8</v>
      </c>
      <c r="G45" s="101"/>
      <c r="H45" s="102"/>
      <c r="I45" s="102"/>
      <c r="J45" s="118"/>
      <c r="K45" s="102"/>
      <c r="L45" s="102"/>
      <c r="M45" s="118"/>
      <c r="N45" s="102"/>
      <c r="O45" s="102"/>
      <c r="P45" s="118"/>
      <c r="Q45" s="102"/>
      <c r="R45" s="102"/>
      <c r="S45" s="118">
        <f>T45+U45</f>
        <v>21.50639</v>
      </c>
      <c r="T45" s="102">
        <f>21086.49/1000</f>
        <v>21.086490000000001</v>
      </c>
      <c r="U45" s="102">
        <f>419.9/1000</f>
        <v>0.4199</v>
      </c>
      <c r="V45" s="101">
        <f>W45+X45</f>
        <v>46.965309999999995</v>
      </c>
      <c r="W45" s="102">
        <f>46401.31/1000</f>
        <v>46.401309999999995</v>
      </c>
      <c r="X45" s="102">
        <f>564/1000</f>
        <v>0.56399999999999995</v>
      </c>
      <c r="Y45" s="318">
        <f>Z45+AA45</f>
        <v>50.28</v>
      </c>
      <c r="Z45" s="318">
        <v>48.42</v>
      </c>
      <c r="AA45" s="318">
        <v>1.86</v>
      </c>
      <c r="AB45" s="318">
        <f>AC45+AD45</f>
        <v>49.279999999999994</v>
      </c>
      <c r="AC45" s="318">
        <v>47.41</v>
      </c>
      <c r="AD45" s="318">
        <v>1.87</v>
      </c>
      <c r="AE45" s="191">
        <f>AB45/F45</f>
        <v>6.1599999999999993</v>
      </c>
    </row>
    <row r="46" spans="1:31" s="105" customFormat="1">
      <c r="A46" s="99">
        <f t="shared" si="0"/>
        <v>41</v>
      </c>
      <c r="B46" s="99" t="s">
        <v>124</v>
      </c>
      <c r="C46" s="228" t="s">
        <v>19</v>
      </c>
      <c r="D46" s="229">
        <v>49</v>
      </c>
      <c r="E46" s="230" t="s">
        <v>20</v>
      </c>
      <c r="F46" s="230">
        <f>'[5]Реестр УК новый'!$G$154</f>
        <v>12</v>
      </c>
      <c r="G46" s="101"/>
      <c r="H46" s="102"/>
      <c r="I46" s="102"/>
      <c r="J46" s="118">
        <f>K46+L46</f>
        <v>12.609290000000001</v>
      </c>
      <c r="K46" s="102">
        <f>12609.29/1000</f>
        <v>12.609290000000001</v>
      </c>
      <c r="L46" s="102"/>
      <c r="M46" s="118">
        <f>N46+O46</f>
        <v>29.053709999999999</v>
      </c>
      <c r="N46" s="102">
        <f>29053.71/1000</f>
        <v>29.053709999999999</v>
      </c>
      <c r="O46" s="102"/>
      <c r="P46" s="118">
        <f>Q46+R46</f>
        <v>48.694240000000001</v>
      </c>
      <c r="Q46" s="102">
        <f>48694.24/1000</f>
        <v>48.694240000000001</v>
      </c>
      <c r="R46" s="102"/>
      <c r="S46" s="118">
        <f>T46+U46</f>
        <v>62.557809999999996</v>
      </c>
      <c r="T46" s="102">
        <f>62557.81/1000</f>
        <v>62.557809999999996</v>
      </c>
      <c r="U46" s="102"/>
      <c r="V46" s="101">
        <f>W46+X46</f>
        <v>85.560690000000008</v>
      </c>
      <c r="W46" s="102">
        <f>85560.69/1000</f>
        <v>85.560690000000008</v>
      </c>
      <c r="X46" s="102"/>
      <c r="Y46" s="318">
        <f>Z46+AA46</f>
        <v>80.56</v>
      </c>
      <c r="Z46" s="318">
        <v>80.56</v>
      </c>
      <c r="AA46" s="318"/>
      <c r="AB46" s="318">
        <f>AC46+AD46</f>
        <v>71.959999999999994</v>
      </c>
      <c r="AC46" s="318">
        <v>71.959999999999994</v>
      </c>
      <c r="AD46" s="318"/>
      <c r="AE46" s="191">
        <f>AB46/F46</f>
        <v>5.9966666666666661</v>
      </c>
    </row>
    <row r="47" spans="1:31" s="105" customFormat="1">
      <c r="A47" s="99">
        <f t="shared" si="0"/>
        <v>42</v>
      </c>
      <c r="B47" s="99" t="s">
        <v>124</v>
      </c>
      <c r="C47" s="231" t="s">
        <v>128</v>
      </c>
      <c r="D47" s="230">
        <v>8</v>
      </c>
      <c r="E47" s="230"/>
      <c r="F47" s="230">
        <f>'[5]Реестр УК новый'!$G$311</f>
        <v>12</v>
      </c>
      <c r="G47" s="101"/>
      <c r="H47" s="102"/>
      <c r="I47" s="102"/>
      <c r="J47" s="118"/>
      <c r="K47" s="102"/>
      <c r="L47" s="102"/>
      <c r="M47" s="118">
        <f>N47+O47</f>
        <v>26.938779999999998</v>
      </c>
      <c r="N47" s="102">
        <f>26938.78/1000</f>
        <v>26.938779999999998</v>
      </c>
      <c r="O47" s="102"/>
      <c r="P47" s="118">
        <f>Q47+R47</f>
        <v>27.476849999999999</v>
      </c>
      <c r="Q47" s="102">
        <f>27476.85/1000</f>
        <v>27.476849999999999</v>
      </c>
      <c r="R47" s="102"/>
      <c r="S47" s="118">
        <f>T47+U47</f>
        <v>38.15531</v>
      </c>
      <c r="T47" s="102">
        <f>38155.31/1000</f>
        <v>38.15531</v>
      </c>
      <c r="U47" s="102"/>
      <c r="V47" s="101">
        <f>W47+X47</f>
        <v>57.323279999999997</v>
      </c>
      <c r="W47" s="102">
        <f>57206.88/1000</f>
        <v>57.206879999999998</v>
      </c>
      <c r="X47" s="102">
        <f>116.4/1000</f>
        <v>0.1164</v>
      </c>
      <c r="Y47" s="318">
        <f>Z47+AA47</f>
        <v>61.5</v>
      </c>
      <c r="Z47" s="318">
        <v>60.21</v>
      </c>
      <c r="AA47" s="318">
        <v>1.29</v>
      </c>
      <c r="AB47" s="318">
        <f>AC47+AD47</f>
        <v>69.349999999999994</v>
      </c>
      <c r="AC47" s="318">
        <v>68.22</v>
      </c>
      <c r="AD47" s="318">
        <v>1.1299999999999999</v>
      </c>
      <c r="AE47" s="191">
        <f>AB47/F47</f>
        <v>5.7791666666666659</v>
      </c>
    </row>
    <row r="48" spans="1:31" s="105" customFormat="1">
      <c r="A48" s="99">
        <f t="shared" si="0"/>
        <v>43</v>
      </c>
      <c r="B48" s="99" t="s">
        <v>124</v>
      </c>
      <c r="C48" s="228" t="s">
        <v>127</v>
      </c>
      <c r="D48" s="229">
        <v>1</v>
      </c>
      <c r="E48" s="230"/>
      <c r="F48" s="230">
        <f>'[5]Реестр УК новый'!$G$93</f>
        <v>8</v>
      </c>
      <c r="G48" s="101"/>
      <c r="H48" s="102"/>
      <c r="I48" s="102"/>
      <c r="J48" s="118"/>
      <c r="K48" s="102"/>
      <c r="L48" s="102"/>
      <c r="M48" s="118">
        <f>N48+O48</f>
        <v>26.02777</v>
      </c>
      <c r="N48" s="102">
        <f>25527.12/1000</f>
        <v>25.52712</v>
      </c>
      <c r="O48" s="102">
        <f>500.65/1000</f>
        <v>0.50064999999999993</v>
      </c>
      <c r="P48" s="118">
        <f>Q48+R48</f>
        <v>38.671079999999996</v>
      </c>
      <c r="Q48" s="102">
        <f>37907.03/1000</f>
        <v>37.907029999999999</v>
      </c>
      <c r="R48" s="102">
        <f>764.05/1000</f>
        <v>0.76405000000000001</v>
      </c>
      <c r="S48" s="118">
        <f>T48+U48</f>
        <v>39.821980000000003</v>
      </c>
      <c r="T48" s="102">
        <f>38889.96/1000</f>
        <v>38.889960000000002</v>
      </c>
      <c r="U48" s="102">
        <f>932.02/1000</f>
        <v>0.93201999999999996</v>
      </c>
      <c r="V48" s="101">
        <f>W48+X48</f>
        <v>50.73724</v>
      </c>
      <c r="W48" s="102">
        <f>49556.35/1000</f>
        <v>49.556350000000002</v>
      </c>
      <c r="X48" s="102">
        <f>1180.89/1000</f>
        <v>1.18089</v>
      </c>
      <c r="Y48" s="318">
        <f>Z48+AA48</f>
        <v>48.54</v>
      </c>
      <c r="Z48" s="318">
        <v>46.35</v>
      </c>
      <c r="AA48" s="318">
        <v>2.19</v>
      </c>
      <c r="AB48" s="318">
        <f>AC48+AD48</f>
        <v>43.58</v>
      </c>
      <c r="AC48" s="318">
        <v>42.36</v>
      </c>
      <c r="AD48" s="318">
        <v>1.22</v>
      </c>
      <c r="AE48" s="191">
        <f>AB48/F48</f>
        <v>5.4474999999999998</v>
      </c>
    </row>
    <row r="49" spans="1:31" s="105" customFormat="1">
      <c r="A49" s="99">
        <f t="shared" si="0"/>
        <v>44</v>
      </c>
      <c r="B49" s="99" t="s">
        <v>124</v>
      </c>
      <c r="C49" s="231" t="s">
        <v>98</v>
      </c>
      <c r="D49" s="230">
        <v>37</v>
      </c>
      <c r="E49" s="230"/>
      <c r="F49" s="230">
        <f>'[5]Реестр УК новый'!$G$369</f>
        <v>12</v>
      </c>
      <c r="G49" s="101"/>
      <c r="H49" s="102"/>
      <c r="I49" s="102"/>
      <c r="J49" s="118"/>
      <c r="K49" s="102"/>
      <c r="L49" s="102"/>
      <c r="M49" s="118">
        <f>N49+O49</f>
        <v>41.809410000000007</v>
      </c>
      <c r="N49" s="102">
        <f>41809.41/1000</f>
        <v>41.809410000000007</v>
      </c>
      <c r="O49" s="102"/>
      <c r="P49" s="118">
        <f>Q49+R49</f>
        <v>50.152650000000001</v>
      </c>
      <c r="Q49" s="102">
        <f>50152.65/1000</f>
        <v>50.152650000000001</v>
      </c>
      <c r="R49" s="102"/>
      <c r="S49" s="118">
        <f>T49+U49</f>
        <v>61.794750000000001</v>
      </c>
      <c r="T49" s="102">
        <f>61794.75/1000</f>
        <v>61.794750000000001</v>
      </c>
      <c r="U49" s="102"/>
      <c r="V49" s="101">
        <f>W49+X49</f>
        <v>63.728929999999998</v>
      </c>
      <c r="W49" s="102">
        <f>63728.93/1000</f>
        <v>63.728929999999998</v>
      </c>
      <c r="X49" s="102"/>
      <c r="Y49" s="318">
        <f>Z49+AA49</f>
        <v>66.73</v>
      </c>
      <c r="Z49" s="318">
        <v>66.73</v>
      </c>
      <c r="AA49" s="318"/>
      <c r="AB49" s="318">
        <f>AC49+AD49</f>
        <v>65.349999999999994</v>
      </c>
      <c r="AC49" s="318">
        <v>65.349999999999994</v>
      </c>
      <c r="AD49" s="318"/>
      <c r="AE49" s="191">
        <f>AB49/F49</f>
        <v>5.4458333333333329</v>
      </c>
    </row>
    <row r="50" spans="1:31" s="105" customFormat="1">
      <c r="A50" s="99">
        <f t="shared" si="0"/>
        <v>45</v>
      </c>
      <c r="B50" s="99" t="s">
        <v>124</v>
      </c>
      <c r="C50" s="231" t="s">
        <v>90</v>
      </c>
      <c r="D50" s="230">
        <v>17</v>
      </c>
      <c r="E50" s="230"/>
      <c r="F50" s="230">
        <f>'[5]Реестр УК новый'!$G$273</f>
        <v>12</v>
      </c>
      <c r="G50" s="101"/>
      <c r="H50" s="102"/>
      <c r="I50" s="102"/>
      <c r="J50" s="118"/>
      <c r="K50" s="102"/>
      <c r="L50" s="102"/>
      <c r="M50" s="118">
        <f>N50+O50</f>
        <v>35.228989999999996</v>
      </c>
      <c r="N50" s="102">
        <f>35228.99/1000</f>
        <v>35.228989999999996</v>
      </c>
      <c r="O50" s="102"/>
      <c r="P50" s="118">
        <f>Q50+R50</f>
        <v>45.625629999999994</v>
      </c>
      <c r="Q50" s="102">
        <f>45625.63/1000</f>
        <v>45.625629999999994</v>
      </c>
      <c r="R50" s="102"/>
      <c r="S50" s="118">
        <f>T50+U50</f>
        <v>61.299309999999998</v>
      </c>
      <c r="T50" s="102">
        <f>61299.31/1000</f>
        <v>61.299309999999998</v>
      </c>
      <c r="U50" s="102"/>
      <c r="V50" s="101">
        <f>W50+X50</f>
        <v>65.421949999999995</v>
      </c>
      <c r="W50" s="102">
        <f>65421.95/1000</f>
        <v>65.421949999999995</v>
      </c>
      <c r="X50" s="102"/>
      <c r="Y50" s="318">
        <f>Z50+AA50</f>
        <v>69.42</v>
      </c>
      <c r="Z50" s="318">
        <v>69.42</v>
      </c>
      <c r="AA50" s="318"/>
      <c r="AB50" s="318">
        <f>AC50+AD50</f>
        <v>65.239999999999995</v>
      </c>
      <c r="AC50" s="318">
        <v>65.239999999999995</v>
      </c>
      <c r="AD50" s="318"/>
      <c r="AE50" s="191">
        <f>AB50/F50</f>
        <v>5.4366666666666665</v>
      </c>
    </row>
    <row r="51" spans="1:31" s="105" customFormat="1">
      <c r="A51" s="99">
        <f t="shared" si="0"/>
        <v>46</v>
      </c>
      <c r="B51" s="99" t="s">
        <v>124</v>
      </c>
      <c r="C51" s="231" t="s">
        <v>38</v>
      </c>
      <c r="D51" s="230">
        <v>21</v>
      </c>
      <c r="E51" s="230"/>
      <c r="F51" s="230">
        <f>'[5]Реестр УК новый'!$G$250</f>
        <v>12</v>
      </c>
      <c r="G51" s="101"/>
      <c r="H51" s="102"/>
      <c r="I51" s="102"/>
      <c r="J51" s="118"/>
      <c r="K51" s="102"/>
      <c r="L51" s="102"/>
      <c r="M51" s="118">
        <f>N51+O51</f>
        <v>33.190339999999999</v>
      </c>
      <c r="N51" s="102">
        <f>33190.34/1000</f>
        <v>33.190339999999999</v>
      </c>
      <c r="O51" s="102"/>
      <c r="P51" s="118">
        <f>Q51+R51</f>
        <v>48.33925</v>
      </c>
      <c r="Q51" s="102">
        <f>48339.25/1000</f>
        <v>48.33925</v>
      </c>
      <c r="R51" s="102"/>
      <c r="S51" s="118">
        <f>T51+U51</f>
        <v>42.799990000000001</v>
      </c>
      <c r="T51" s="102">
        <f>42799.99/1000</f>
        <v>42.799990000000001</v>
      </c>
      <c r="U51" s="102"/>
      <c r="V51" s="101">
        <f>W51+X51</f>
        <v>63.169550000000001</v>
      </c>
      <c r="W51" s="102">
        <f>63169.55/1000</f>
        <v>63.169550000000001</v>
      </c>
      <c r="X51" s="102"/>
      <c r="Y51" s="318">
        <f>Z51+AA51</f>
        <v>65.17</v>
      </c>
      <c r="Z51" s="318">
        <v>65.17</v>
      </c>
      <c r="AA51" s="318"/>
      <c r="AB51" s="318">
        <f>AC51+AD51</f>
        <v>63.71</v>
      </c>
      <c r="AC51" s="318">
        <v>63.71</v>
      </c>
      <c r="AD51" s="318"/>
      <c r="AE51" s="191">
        <f>AB51/F51</f>
        <v>5.309166666666667</v>
      </c>
    </row>
    <row r="52" spans="1:31" s="105" customFormat="1">
      <c r="A52" s="99">
        <f t="shared" si="0"/>
        <v>47</v>
      </c>
      <c r="B52" s="99" t="s">
        <v>124</v>
      </c>
      <c r="C52" s="228" t="s">
        <v>19</v>
      </c>
      <c r="D52" s="229">
        <v>54</v>
      </c>
      <c r="E52" s="230" t="s">
        <v>20</v>
      </c>
      <c r="F52" s="230">
        <f>'[5]Реестр УК новый'!$G$157</f>
        <v>12</v>
      </c>
      <c r="G52" s="101"/>
      <c r="H52" s="102"/>
      <c r="I52" s="102"/>
      <c r="J52" s="118"/>
      <c r="K52" s="102"/>
      <c r="L52" s="102"/>
      <c r="M52" s="118">
        <f>N52+O52</f>
        <v>33.612679999999997</v>
      </c>
      <c r="N52" s="102">
        <f>33612.68/1000</f>
        <v>33.612679999999997</v>
      </c>
      <c r="O52" s="102"/>
      <c r="P52" s="118">
        <f>Q52+R52</f>
        <v>56.80189</v>
      </c>
      <c r="Q52" s="102">
        <f>56801.89/1000</f>
        <v>56.80189</v>
      </c>
      <c r="R52" s="102"/>
      <c r="S52" s="118">
        <f>T52+U52</f>
        <v>67.972820000000013</v>
      </c>
      <c r="T52" s="102">
        <f>67972.82/1000</f>
        <v>67.972820000000013</v>
      </c>
      <c r="U52" s="102"/>
      <c r="V52" s="101">
        <f>W52+X52</f>
        <v>67.364490000000004</v>
      </c>
      <c r="W52" s="102">
        <f>67364.49/1000</f>
        <v>67.364490000000004</v>
      </c>
      <c r="X52" s="102"/>
      <c r="Y52" s="318">
        <f>Z52+AA52</f>
        <v>62.36</v>
      </c>
      <c r="Z52" s="318">
        <v>62.36</v>
      </c>
      <c r="AA52" s="318"/>
      <c r="AB52" s="318">
        <f>AC52+AD52</f>
        <v>63.63</v>
      </c>
      <c r="AC52" s="318">
        <v>63.63</v>
      </c>
      <c r="AD52" s="318"/>
      <c r="AE52" s="191">
        <f>AB52/F52</f>
        <v>5.3025000000000002</v>
      </c>
    </row>
    <row r="53" spans="1:31" s="105" customFormat="1">
      <c r="A53" s="99">
        <f t="shared" si="0"/>
        <v>48</v>
      </c>
      <c r="B53" s="99" t="s">
        <v>124</v>
      </c>
      <c r="C53" s="231" t="s">
        <v>98</v>
      </c>
      <c r="D53" s="230">
        <v>18</v>
      </c>
      <c r="E53" s="230" t="s">
        <v>20</v>
      </c>
      <c r="F53" s="230">
        <f>'[5]Реестр УК новый'!$G$377</f>
        <v>12</v>
      </c>
      <c r="G53" s="101"/>
      <c r="H53" s="102"/>
      <c r="I53" s="102"/>
      <c r="J53" s="118">
        <f>K53+L53</f>
        <v>10.265270000000001</v>
      </c>
      <c r="K53" s="102">
        <f>10265.27/1000</f>
        <v>10.265270000000001</v>
      </c>
      <c r="L53" s="102"/>
      <c r="M53" s="118">
        <f>N53+O53</f>
        <v>26.859659999999998</v>
      </c>
      <c r="N53" s="102">
        <f>26859.66/1000</f>
        <v>26.859659999999998</v>
      </c>
      <c r="O53" s="102"/>
      <c r="P53" s="118">
        <f>Q53+R53</f>
        <v>42.329419999999999</v>
      </c>
      <c r="Q53" s="102">
        <f>42329.42/1000</f>
        <v>42.329419999999999</v>
      </c>
      <c r="R53" s="102"/>
      <c r="S53" s="118">
        <f>T53+U53</f>
        <v>46.846760000000003</v>
      </c>
      <c r="T53" s="102">
        <f>46846.76/1000</f>
        <v>46.846760000000003</v>
      </c>
      <c r="U53" s="102"/>
      <c r="V53" s="101">
        <f>W53+X53</f>
        <v>62.669440000000002</v>
      </c>
      <c r="W53" s="102">
        <f>62669.44/1000</f>
        <v>62.669440000000002</v>
      </c>
      <c r="X53" s="102"/>
      <c r="Y53" s="318">
        <f>Z53+AA53</f>
        <v>63.67</v>
      </c>
      <c r="Z53" s="318">
        <v>63.67</v>
      </c>
      <c r="AA53" s="318"/>
      <c r="AB53" s="318">
        <f>AC53+AD53</f>
        <v>62.68</v>
      </c>
      <c r="AC53" s="318">
        <v>62.68</v>
      </c>
      <c r="AD53" s="318"/>
      <c r="AE53" s="191">
        <f>AB53/F53</f>
        <v>5.2233333333333336</v>
      </c>
    </row>
    <row r="54" spans="1:31" s="105" customFormat="1">
      <c r="A54" s="99">
        <f t="shared" si="0"/>
        <v>49</v>
      </c>
      <c r="B54" s="99" t="s">
        <v>124</v>
      </c>
      <c r="C54" s="228" t="s">
        <v>19</v>
      </c>
      <c r="D54" s="229">
        <v>52</v>
      </c>
      <c r="E54" s="230" t="s">
        <v>21</v>
      </c>
      <c r="F54" s="230">
        <f>'[5]Реестр УК новый'!$G$156</f>
        <v>12</v>
      </c>
      <c r="G54" s="101"/>
      <c r="H54" s="102"/>
      <c r="I54" s="102"/>
      <c r="J54" s="118"/>
      <c r="K54" s="102"/>
      <c r="L54" s="102"/>
      <c r="M54" s="118">
        <f>N54+O54</f>
        <v>31.826250000000002</v>
      </c>
      <c r="N54" s="102">
        <f>31826.25/1000</f>
        <v>31.826250000000002</v>
      </c>
      <c r="O54" s="102"/>
      <c r="P54" s="118">
        <f>Q54+R54</f>
        <v>60.533250000000002</v>
      </c>
      <c r="Q54" s="102">
        <f>60533.25/1000</f>
        <v>60.533250000000002</v>
      </c>
      <c r="R54" s="102"/>
      <c r="S54" s="118">
        <f>T54+U54</f>
        <v>59.845160000000007</v>
      </c>
      <c r="T54" s="102">
        <f>59845.16/1000</f>
        <v>59.845160000000007</v>
      </c>
      <c r="U54" s="102"/>
      <c r="V54" s="101">
        <f>W54+X54</f>
        <v>66.046800000000005</v>
      </c>
      <c r="W54" s="102">
        <f>66046.8/1000</f>
        <v>66.046800000000005</v>
      </c>
      <c r="X54" s="102"/>
      <c r="Y54" s="318">
        <f>Z54+AA54</f>
        <v>66.05</v>
      </c>
      <c r="Z54" s="318">
        <v>66.05</v>
      </c>
      <c r="AA54" s="318"/>
      <c r="AB54" s="318">
        <f>AC54+AD54</f>
        <v>62.32</v>
      </c>
      <c r="AC54" s="318">
        <v>62.32</v>
      </c>
      <c r="AD54" s="318"/>
      <c r="AE54" s="191">
        <f>AB54/F54</f>
        <v>5.1933333333333334</v>
      </c>
    </row>
    <row r="55" spans="1:31" s="105" customFormat="1">
      <c r="A55" s="99">
        <f t="shared" si="0"/>
        <v>50</v>
      </c>
      <c r="B55" s="99" t="s">
        <v>124</v>
      </c>
      <c r="C55" s="231" t="s">
        <v>38</v>
      </c>
      <c r="D55" s="230">
        <v>24</v>
      </c>
      <c r="E55" s="230" t="s">
        <v>20</v>
      </c>
      <c r="F55" s="230">
        <f>'[5]Реестр УК новый'!$G$257</f>
        <v>16</v>
      </c>
      <c r="G55" s="101"/>
      <c r="H55" s="102"/>
      <c r="I55" s="102"/>
      <c r="J55" s="118"/>
      <c r="K55" s="102"/>
      <c r="L55" s="102"/>
      <c r="M55" s="118">
        <f>N55+O55</f>
        <v>25.47813</v>
      </c>
      <c r="N55" s="102">
        <f>25478.13/1000</f>
        <v>25.47813</v>
      </c>
      <c r="O55" s="102"/>
      <c r="P55" s="118">
        <f>Q55+R55</f>
        <v>44.70391</v>
      </c>
      <c r="Q55" s="102">
        <f>44703.91/1000</f>
        <v>44.70391</v>
      </c>
      <c r="R55" s="102"/>
      <c r="S55" s="118">
        <f>T55+U55</f>
        <v>50.322600000000001</v>
      </c>
      <c r="T55" s="102">
        <f>50322.6/1000</f>
        <v>50.322600000000001</v>
      </c>
      <c r="U55" s="102"/>
      <c r="V55" s="101">
        <f>W55+X55</f>
        <v>81.833259999999996</v>
      </c>
      <c r="W55" s="102">
        <f>81833.26/1000</f>
        <v>81.833259999999996</v>
      </c>
      <c r="X55" s="102"/>
      <c r="Y55" s="318">
        <f>Z55+AA55</f>
        <v>82.03</v>
      </c>
      <c r="Z55" s="318">
        <v>82.03</v>
      </c>
      <c r="AA55" s="318"/>
      <c r="AB55" s="318">
        <f>AC55+AD55</f>
        <v>80.23</v>
      </c>
      <c r="AC55" s="318">
        <v>80.23</v>
      </c>
      <c r="AD55" s="318"/>
      <c r="AE55" s="191">
        <f>AB55/F55</f>
        <v>5.0143750000000002</v>
      </c>
    </row>
    <row r="56" spans="1:31" s="105" customFormat="1">
      <c r="A56" s="99">
        <f t="shared" si="0"/>
        <v>51</v>
      </c>
      <c r="B56" s="99" t="s">
        <v>124</v>
      </c>
      <c r="C56" s="228" t="s">
        <v>19</v>
      </c>
      <c r="D56" s="229">
        <v>30</v>
      </c>
      <c r="E56" s="230"/>
      <c r="F56" s="230">
        <f>'[5]Реестр УК новый'!$G$125</f>
        <v>20</v>
      </c>
      <c r="G56" s="101"/>
      <c r="H56" s="102"/>
      <c r="I56" s="102"/>
      <c r="J56" s="118"/>
      <c r="K56" s="102"/>
      <c r="L56" s="102"/>
      <c r="M56" s="118"/>
      <c r="N56" s="102"/>
      <c r="O56" s="102"/>
      <c r="P56" s="118"/>
      <c r="Q56" s="102"/>
      <c r="R56" s="102"/>
      <c r="S56" s="118">
        <f>T56+U56</f>
        <v>79.552109999999999</v>
      </c>
      <c r="T56" s="102">
        <f>22285.21/1000</f>
        <v>22.285209999999999</v>
      </c>
      <c r="U56" s="102">
        <f>57266.9/1000</f>
        <v>57.2669</v>
      </c>
      <c r="V56" s="101">
        <f>W56+X56</f>
        <v>101.10684000000001</v>
      </c>
      <c r="W56" s="102">
        <f>36270.22/1000</f>
        <v>36.270220000000002</v>
      </c>
      <c r="X56" s="102">
        <f>64836.62/1000</f>
        <v>64.836619999999996</v>
      </c>
      <c r="Y56" s="318">
        <f>Z56+AA56</f>
        <v>98.12</v>
      </c>
      <c r="Z56" s="318">
        <v>32.28</v>
      </c>
      <c r="AA56" s="318">
        <v>65.84</v>
      </c>
      <c r="AB56" s="318">
        <f>AC56+AD56</f>
        <v>93.11</v>
      </c>
      <c r="AC56" s="318">
        <v>30.29</v>
      </c>
      <c r="AD56" s="318">
        <v>62.82</v>
      </c>
      <c r="AE56" s="191">
        <f>AB56/F56</f>
        <v>4.6555</v>
      </c>
    </row>
    <row r="57" spans="1:31" s="105" customFormat="1">
      <c r="A57" s="99">
        <f t="shared" si="0"/>
        <v>52</v>
      </c>
      <c r="B57" s="99" t="s">
        <v>124</v>
      </c>
      <c r="C57" s="228" t="s">
        <v>83</v>
      </c>
      <c r="D57" s="229">
        <v>28</v>
      </c>
      <c r="E57" s="230"/>
      <c r="F57" s="230">
        <f>'[5]Реестр УК новый'!$G$88</f>
        <v>8</v>
      </c>
      <c r="G57" s="101"/>
      <c r="H57" s="102"/>
      <c r="I57" s="102"/>
      <c r="J57" s="118"/>
      <c r="K57" s="102"/>
      <c r="L57" s="102"/>
      <c r="M57" s="118"/>
      <c r="N57" s="102"/>
      <c r="O57" s="102"/>
      <c r="P57" s="118"/>
      <c r="Q57" s="102"/>
      <c r="R57" s="102"/>
      <c r="S57" s="118">
        <f>T57+U57</f>
        <v>20.002230000000001</v>
      </c>
      <c r="T57" s="102">
        <f>19740.06/1000</f>
        <v>19.74006</v>
      </c>
      <c r="U57" s="102">
        <f>262.17/1000</f>
        <v>0.26217000000000001</v>
      </c>
      <c r="V57" s="101">
        <f>W57+X57</f>
        <v>34.930520000000001</v>
      </c>
      <c r="W57" s="102">
        <f>34494/1000</f>
        <v>34.494</v>
      </c>
      <c r="X57" s="102">
        <f>436.52/1000</f>
        <v>0.43651999999999996</v>
      </c>
      <c r="Y57" s="318">
        <f>Z57+AA57</f>
        <v>34.159999999999997</v>
      </c>
      <c r="Z57" s="318">
        <v>33.5</v>
      </c>
      <c r="AA57" s="318">
        <v>0.66</v>
      </c>
      <c r="AB57" s="318">
        <f>AC57+AD57</f>
        <v>36.489999999999995</v>
      </c>
      <c r="AC57" s="318">
        <v>34.799999999999997</v>
      </c>
      <c r="AD57" s="318">
        <v>1.69</v>
      </c>
      <c r="AE57" s="191">
        <f>AB57/F57</f>
        <v>4.5612499999999994</v>
      </c>
    </row>
    <row r="58" spans="1:31" s="105" customFormat="1">
      <c r="A58" s="99">
        <f t="shared" si="0"/>
        <v>53</v>
      </c>
      <c r="B58" s="99" t="s">
        <v>124</v>
      </c>
      <c r="C58" s="228" t="s">
        <v>127</v>
      </c>
      <c r="D58" s="229">
        <v>2</v>
      </c>
      <c r="E58" s="230"/>
      <c r="F58" s="230">
        <f>'[5]Реестр УК новый'!$G$95</f>
        <v>8</v>
      </c>
      <c r="G58" s="101"/>
      <c r="H58" s="102"/>
      <c r="I58" s="102"/>
      <c r="J58" s="118">
        <f>K58+L58</f>
        <v>22.155380000000001</v>
      </c>
      <c r="K58" s="102">
        <f>22155.38/1000</f>
        <v>22.155380000000001</v>
      </c>
      <c r="L58" s="102"/>
      <c r="M58" s="118">
        <f>N58+O58</f>
        <v>26.011380000000003</v>
      </c>
      <c r="N58" s="102">
        <f>26011.38/1000</f>
        <v>26.011380000000003</v>
      </c>
      <c r="O58" s="102"/>
      <c r="P58" s="118">
        <f>Q58+R58</f>
        <v>29.707080000000001</v>
      </c>
      <c r="Q58" s="102">
        <f>29707.08/1000</f>
        <v>29.707080000000001</v>
      </c>
      <c r="R58" s="102"/>
      <c r="S58" s="118">
        <f>T58+U58</f>
        <v>35.303220000000003</v>
      </c>
      <c r="T58" s="102">
        <f>35303.22/1000</f>
        <v>35.303220000000003</v>
      </c>
      <c r="U58" s="102"/>
      <c r="V58" s="101">
        <f>W58+X58</f>
        <v>42.090160000000004</v>
      </c>
      <c r="W58" s="102">
        <f>42090.16/1000</f>
        <v>42.090160000000004</v>
      </c>
      <c r="X58" s="102"/>
      <c r="Y58" s="318">
        <f>Z58+AA58</f>
        <v>40.200000000000003</v>
      </c>
      <c r="Z58" s="318">
        <v>40.200000000000003</v>
      </c>
      <c r="AA58" s="318"/>
      <c r="AB58" s="318">
        <f>AC58+AD58</f>
        <v>35.19</v>
      </c>
      <c r="AC58" s="318">
        <v>35.19</v>
      </c>
      <c r="AD58" s="318"/>
      <c r="AE58" s="191">
        <f>AB58/F58</f>
        <v>4.3987499999999997</v>
      </c>
    </row>
    <row r="59" spans="1:31" s="105" customFormat="1">
      <c r="A59" s="99">
        <f t="shared" si="0"/>
        <v>54</v>
      </c>
      <c r="B59" s="99" t="s">
        <v>124</v>
      </c>
      <c r="C59" s="231" t="s">
        <v>76</v>
      </c>
      <c r="D59" s="230">
        <v>10</v>
      </c>
      <c r="E59" s="230" t="s">
        <v>20</v>
      </c>
      <c r="F59" s="230">
        <f>'[5]Реестр УК новый'!$G$293</f>
        <v>12</v>
      </c>
      <c r="G59" s="101"/>
      <c r="H59" s="102"/>
      <c r="I59" s="102"/>
      <c r="J59" s="118"/>
      <c r="K59" s="102"/>
      <c r="L59" s="102"/>
      <c r="M59" s="118">
        <f>N59+O59</f>
        <v>20.83257</v>
      </c>
      <c r="N59" s="102">
        <f>20832.57/1000</f>
        <v>20.83257</v>
      </c>
      <c r="O59" s="102"/>
      <c r="P59" s="118">
        <f>Q59+R59</f>
        <v>33.442320000000002</v>
      </c>
      <c r="Q59" s="102">
        <f>33442.32/1000</f>
        <v>33.442320000000002</v>
      </c>
      <c r="R59" s="102"/>
      <c r="S59" s="118">
        <f>T59+U59</f>
        <v>35.83558</v>
      </c>
      <c r="T59" s="102">
        <f>35835.58/1000</f>
        <v>35.83558</v>
      </c>
      <c r="U59" s="102"/>
      <c r="V59" s="101">
        <f>W59+X59</f>
        <v>53.401800000000001</v>
      </c>
      <c r="W59" s="102">
        <f>53401.8/1000</f>
        <v>53.401800000000001</v>
      </c>
      <c r="X59" s="102"/>
      <c r="Y59" s="318">
        <f>Z59+AA59</f>
        <v>53.24</v>
      </c>
      <c r="Z59" s="318">
        <v>53.24</v>
      </c>
      <c r="AA59" s="318"/>
      <c r="AB59" s="318">
        <f>AC59+AD59</f>
        <v>52.42</v>
      </c>
      <c r="AC59" s="318">
        <v>52.42</v>
      </c>
      <c r="AD59" s="318"/>
      <c r="AE59" s="191">
        <f>AB59/F59</f>
        <v>4.3683333333333332</v>
      </c>
    </row>
    <row r="60" spans="1:31" s="105" customFormat="1">
      <c r="A60" s="99">
        <f t="shared" si="0"/>
        <v>55</v>
      </c>
      <c r="B60" s="99" t="s">
        <v>124</v>
      </c>
      <c r="C60" s="228" t="s">
        <v>55</v>
      </c>
      <c r="D60" s="229">
        <v>4</v>
      </c>
      <c r="E60" s="230"/>
      <c r="F60" s="230">
        <f>'[5]Реестр УК новый'!$G$185</f>
        <v>12</v>
      </c>
      <c r="G60" s="101"/>
      <c r="H60" s="102"/>
      <c r="I60" s="102"/>
      <c r="J60" s="118"/>
      <c r="K60" s="102"/>
      <c r="L60" s="102"/>
      <c r="M60" s="118">
        <f>N60+O60</f>
        <v>26.879000000000001</v>
      </c>
      <c r="N60" s="102">
        <f>26879/1000</f>
        <v>26.879000000000001</v>
      </c>
      <c r="O60" s="102"/>
      <c r="P60" s="118">
        <f>Q60+R60</f>
        <v>38.435589999999998</v>
      </c>
      <c r="Q60" s="102">
        <f>38435.59/1000</f>
        <v>38.435589999999998</v>
      </c>
      <c r="R60" s="102"/>
      <c r="S60" s="118">
        <f>T60+U60</f>
        <v>53.870940000000004</v>
      </c>
      <c r="T60" s="102">
        <f>53870.94/1000</f>
        <v>53.870940000000004</v>
      </c>
      <c r="U60" s="102"/>
      <c r="V60" s="101">
        <f>W60+X60</f>
        <v>50.986280000000001</v>
      </c>
      <c r="W60" s="102">
        <f>50986.28/1000</f>
        <v>50.986280000000001</v>
      </c>
      <c r="X60" s="102"/>
      <c r="Y60" s="318">
        <f>Z60+AA60</f>
        <v>53</v>
      </c>
      <c r="Z60" s="318">
        <v>53</v>
      </c>
      <c r="AA60" s="318"/>
      <c r="AB60" s="318">
        <f>AC60+AD60</f>
        <v>50</v>
      </c>
      <c r="AC60" s="318">
        <v>50</v>
      </c>
      <c r="AD60" s="318"/>
      <c r="AE60" s="191">
        <f>AB60/F60</f>
        <v>4.166666666666667</v>
      </c>
    </row>
    <row r="61" spans="1:31" s="105" customFormat="1">
      <c r="A61" s="99">
        <f t="shared" si="0"/>
        <v>56</v>
      </c>
      <c r="B61" s="99" t="s">
        <v>124</v>
      </c>
      <c r="C61" s="231" t="s">
        <v>90</v>
      </c>
      <c r="D61" s="230">
        <v>21</v>
      </c>
      <c r="E61" s="230"/>
      <c r="F61" s="230">
        <f>'[5]Реестр УК новый'!$G$276</f>
        <v>12</v>
      </c>
      <c r="G61" s="101"/>
      <c r="H61" s="102"/>
      <c r="I61" s="102"/>
      <c r="J61" s="118">
        <f>K61+L61</f>
        <v>11.872120000000001</v>
      </c>
      <c r="K61" s="102">
        <f>11872.12/1000</f>
        <v>11.872120000000001</v>
      </c>
      <c r="L61" s="102"/>
      <c r="M61" s="118">
        <f>N61+O61</f>
        <v>25.230340000000002</v>
      </c>
      <c r="N61" s="102">
        <f>25230.34/1000</f>
        <v>25.230340000000002</v>
      </c>
      <c r="O61" s="102"/>
      <c r="P61" s="118">
        <f>Q61+R61</f>
        <v>28.25732</v>
      </c>
      <c r="Q61" s="102">
        <f>28257.32/1000</f>
        <v>28.25732</v>
      </c>
      <c r="R61" s="102"/>
      <c r="S61" s="118">
        <f>T61+U61</f>
        <v>34.554029999999997</v>
      </c>
      <c r="T61" s="102">
        <f>34554.03/1000</f>
        <v>34.554029999999997</v>
      </c>
      <c r="U61" s="102"/>
      <c r="V61" s="101">
        <f>W61+X61</f>
        <v>50.029629999999997</v>
      </c>
      <c r="W61" s="102">
        <f>50029.63/1000</f>
        <v>50.029629999999997</v>
      </c>
      <c r="X61" s="102"/>
      <c r="Y61" s="318">
        <f>Z61+AA61</f>
        <v>52.03</v>
      </c>
      <c r="Z61" s="318">
        <v>52.03</v>
      </c>
      <c r="AA61" s="318"/>
      <c r="AB61" s="318">
        <f>AC61+AD61</f>
        <v>49.03</v>
      </c>
      <c r="AC61" s="318">
        <v>49.03</v>
      </c>
      <c r="AD61" s="318"/>
      <c r="AE61" s="191">
        <f>AB61/F61</f>
        <v>4.0858333333333334</v>
      </c>
    </row>
    <row r="62" spans="1:31" s="105" customFormat="1">
      <c r="A62" s="99">
        <f t="shared" si="0"/>
        <v>57</v>
      </c>
      <c r="B62" s="99" t="s">
        <v>124</v>
      </c>
      <c r="C62" s="231" t="s">
        <v>128</v>
      </c>
      <c r="D62" s="230">
        <v>10</v>
      </c>
      <c r="E62" s="230"/>
      <c r="F62" s="230">
        <f>'[5]Реестр УК новый'!$G$313</f>
        <v>12</v>
      </c>
      <c r="G62" s="101"/>
      <c r="H62" s="102"/>
      <c r="I62" s="102"/>
      <c r="J62" s="118"/>
      <c r="K62" s="102"/>
      <c r="L62" s="102"/>
      <c r="M62" s="118">
        <f>N62+O62</f>
        <v>22.424109999999999</v>
      </c>
      <c r="N62" s="102">
        <f>22424.11/1000</f>
        <v>22.424109999999999</v>
      </c>
      <c r="O62" s="102"/>
      <c r="P62" s="118">
        <f>Q62+R62</f>
        <v>29.579409999999999</v>
      </c>
      <c r="Q62" s="102">
        <f>29579.41/1000</f>
        <v>29.579409999999999</v>
      </c>
      <c r="R62" s="102"/>
      <c r="S62" s="118">
        <f>T62+U62</f>
        <v>43.015219999999999</v>
      </c>
      <c r="T62" s="102">
        <f>43015.22/1000</f>
        <v>43.015219999999999</v>
      </c>
      <c r="U62" s="102"/>
      <c r="V62" s="101">
        <f>W62+X62</f>
        <v>49.138680000000001</v>
      </c>
      <c r="W62" s="102">
        <f>49138.68/1000</f>
        <v>49.138680000000001</v>
      </c>
      <c r="X62" s="102"/>
      <c r="Y62" s="318">
        <f>Z62+AA62</f>
        <v>50.14</v>
      </c>
      <c r="Z62" s="318">
        <v>50.14</v>
      </c>
      <c r="AA62" s="318"/>
      <c r="AB62" s="318">
        <f>AC62+AD62</f>
        <v>48.14</v>
      </c>
      <c r="AC62" s="318">
        <v>48.14</v>
      </c>
      <c r="AD62" s="318"/>
      <c r="AE62" s="191">
        <f>AB62/F62</f>
        <v>4.0116666666666667</v>
      </c>
    </row>
    <row r="63" spans="1:31" s="105" customFormat="1">
      <c r="A63" s="99">
        <f t="shared" si="0"/>
        <v>58</v>
      </c>
      <c r="B63" s="99" t="s">
        <v>124</v>
      </c>
      <c r="C63" s="231" t="s">
        <v>37</v>
      </c>
      <c r="D63" s="230">
        <v>17</v>
      </c>
      <c r="E63" s="230"/>
      <c r="F63" s="230">
        <f>'[5]Реестр УК новый'!$G$211</f>
        <v>8</v>
      </c>
      <c r="G63" s="101"/>
      <c r="H63" s="102"/>
      <c r="I63" s="102"/>
      <c r="J63" s="118"/>
      <c r="K63" s="102"/>
      <c r="L63" s="102"/>
      <c r="M63" s="118">
        <f>N63+O63</f>
        <v>30.334970000000002</v>
      </c>
      <c r="N63" s="102">
        <f>30334.97/1000</f>
        <v>30.334970000000002</v>
      </c>
      <c r="O63" s="102"/>
      <c r="P63" s="118">
        <f>Q63+R63</f>
        <v>57.697120000000005</v>
      </c>
      <c r="Q63" s="102">
        <f>57697.12/1000</f>
        <v>57.697120000000005</v>
      </c>
      <c r="R63" s="102"/>
      <c r="S63" s="118">
        <f>T63+U63</f>
        <v>53.113370000000003</v>
      </c>
      <c r="T63" s="102">
        <f>53113.37/1000</f>
        <v>53.113370000000003</v>
      </c>
      <c r="U63" s="102"/>
      <c r="V63" s="101">
        <f>W63+X63</f>
        <v>37.749629999999996</v>
      </c>
      <c r="W63" s="102">
        <f>37749.63/1000</f>
        <v>37.749629999999996</v>
      </c>
      <c r="X63" s="102"/>
      <c r="Y63" s="318">
        <f>Z63+AA63</f>
        <v>38.75</v>
      </c>
      <c r="Z63" s="318">
        <v>38.75</v>
      </c>
      <c r="AA63" s="318"/>
      <c r="AB63" s="318">
        <f>AC63+AD63</f>
        <v>32</v>
      </c>
      <c r="AC63" s="318">
        <v>32</v>
      </c>
      <c r="AD63" s="318"/>
      <c r="AE63" s="191">
        <f>AB63/F63</f>
        <v>4</v>
      </c>
    </row>
    <row r="64" spans="1:31" s="105" customFormat="1">
      <c r="A64" s="99">
        <f t="shared" si="0"/>
        <v>59</v>
      </c>
      <c r="B64" s="99" t="s">
        <v>124</v>
      </c>
      <c r="C64" s="228" t="s">
        <v>127</v>
      </c>
      <c r="D64" s="229">
        <v>5</v>
      </c>
      <c r="E64" s="230"/>
      <c r="F64" s="230">
        <f>'[5]Реестр УК новый'!$G$94</f>
        <v>12</v>
      </c>
      <c r="G64" s="101"/>
      <c r="H64" s="102"/>
      <c r="I64" s="102"/>
      <c r="J64" s="118"/>
      <c r="K64" s="102"/>
      <c r="L64" s="102"/>
      <c r="M64" s="118">
        <f>N64+O64</f>
        <v>28.477529999999998</v>
      </c>
      <c r="N64" s="102">
        <f>27993.03/1000</f>
        <v>27.993029999999997</v>
      </c>
      <c r="O64" s="102">
        <f>484.5/1000</f>
        <v>0.48449999999999999</v>
      </c>
      <c r="P64" s="118">
        <f>Q64+R64</f>
        <v>52.933170000000004</v>
      </c>
      <c r="Q64" s="102">
        <f>51094.07/1000</f>
        <v>51.094070000000002</v>
      </c>
      <c r="R64" s="102">
        <f>1839.1/1000</f>
        <v>1.8391</v>
      </c>
      <c r="S64" s="118">
        <f>T64+U64</f>
        <v>57.066740000000003</v>
      </c>
      <c r="T64" s="102">
        <f>55791.29/1000</f>
        <v>55.791290000000004</v>
      </c>
      <c r="U64" s="102">
        <f>1275.45/1000</f>
        <v>1.27545</v>
      </c>
      <c r="V64" s="101">
        <f>W64+X64</f>
        <v>52.704620000000006</v>
      </c>
      <c r="W64" s="102">
        <f>51800.22/1000</f>
        <v>51.800220000000003</v>
      </c>
      <c r="X64" s="102">
        <f>904.4/1000</f>
        <v>0.90439999999999998</v>
      </c>
      <c r="Y64" s="318">
        <f>Z64+AA64</f>
        <v>49.650000000000006</v>
      </c>
      <c r="Z64" s="318">
        <v>48.95</v>
      </c>
      <c r="AA64" s="318">
        <v>0.7</v>
      </c>
      <c r="AB64" s="318">
        <f>AC64+AD64</f>
        <v>47.52</v>
      </c>
      <c r="AC64" s="318">
        <v>47</v>
      </c>
      <c r="AD64" s="318">
        <v>0.52</v>
      </c>
      <c r="AE64" s="191">
        <f>AB64/F64</f>
        <v>3.9600000000000004</v>
      </c>
    </row>
    <row r="65" spans="1:31" s="105" customFormat="1">
      <c r="A65" s="99">
        <f t="shared" si="0"/>
        <v>60</v>
      </c>
      <c r="B65" s="99" t="s">
        <v>124</v>
      </c>
      <c r="C65" s="228" t="s">
        <v>55</v>
      </c>
      <c r="D65" s="229">
        <v>8</v>
      </c>
      <c r="E65" s="230" t="s">
        <v>20</v>
      </c>
      <c r="F65" s="230">
        <f>'[5]Реестр УК новый'!$G$198</f>
        <v>12</v>
      </c>
      <c r="G65" s="101"/>
      <c r="H65" s="102"/>
      <c r="I65" s="102"/>
      <c r="J65" s="118"/>
      <c r="K65" s="102"/>
      <c r="L65" s="102"/>
      <c r="M65" s="118">
        <f>N65+O65</f>
        <v>23.28567</v>
      </c>
      <c r="N65" s="102">
        <f>23285.67/1000</f>
        <v>23.28567</v>
      </c>
      <c r="O65" s="102"/>
      <c r="P65" s="118">
        <f>Q65+R65</f>
        <v>35.292540000000002</v>
      </c>
      <c r="Q65" s="102">
        <f>35292.54/1000</f>
        <v>35.292540000000002</v>
      </c>
      <c r="R65" s="102"/>
      <c r="S65" s="118">
        <f>T65+U65</f>
        <v>63.851430000000001</v>
      </c>
      <c r="T65" s="102">
        <f>63851.43/1000</f>
        <v>63.851430000000001</v>
      </c>
      <c r="U65" s="102"/>
      <c r="V65" s="101">
        <f>W65+X65</f>
        <v>46.002760000000002</v>
      </c>
      <c r="W65" s="102">
        <f>46002.76/1000</f>
        <v>46.002760000000002</v>
      </c>
      <c r="X65" s="102"/>
      <c r="Y65" s="318">
        <f>Z65+AA65</f>
        <v>47.01</v>
      </c>
      <c r="Z65" s="318">
        <v>47.01</v>
      </c>
      <c r="AA65" s="318"/>
      <c r="AB65" s="318">
        <f>AC65+AD65</f>
        <v>45.22</v>
      </c>
      <c r="AC65" s="318">
        <v>45.22</v>
      </c>
      <c r="AD65" s="318"/>
      <c r="AE65" s="191">
        <f>AB65/F65</f>
        <v>3.7683333333333331</v>
      </c>
    </row>
    <row r="66" spans="1:31" s="105" customFormat="1">
      <c r="A66" s="99">
        <f t="shared" si="0"/>
        <v>61</v>
      </c>
      <c r="B66" s="99" t="s">
        <v>124</v>
      </c>
      <c r="C66" s="228" t="s">
        <v>19</v>
      </c>
      <c r="D66" s="229">
        <v>56</v>
      </c>
      <c r="E66" s="230" t="s">
        <v>21</v>
      </c>
      <c r="F66" s="230">
        <f>'[5]Реестр УК новый'!$G$159</f>
        <v>12</v>
      </c>
      <c r="G66" s="101"/>
      <c r="H66" s="102"/>
      <c r="I66" s="102"/>
      <c r="J66" s="118"/>
      <c r="K66" s="102"/>
      <c r="L66" s="102"/>
      <c r="M66" s="118">
        <f>N66+O66</f>
        <v>26.547599999999999</v>
      </c>
      <c r="N66" s="102">
        <f>26547.6/1000</f>
        <v>26.547599999999999</v>
      </c>
      <c r="O66" s="102"/>
      <c r="P66" s="118">
        <f>Q66+R66</f>
        <v>44.229790000000001</v>
      </c>
      <c r="Q66" s="102">
        <f>44229.79/1000</f>
        <v>44.229790000000001</v>
      </c>
      <c r="R66" s="102"/>
      <c r="S66" s="118">
        <f>T66+U66</f>
        <v>33.754870000000004</v>
      </c>
      <c r="T66" s="102">
        <f>33754.87/1000</f>
        <v>33.754870000000004</v>
      </c>
      <c r="U66" s="102"/>
      <c r="V66" s="101">
        <f>W66+X66</f>
        <v>52.114129999999996</v>
      </c>
      <c r="W66" s="102">
        <f>52114.13/1000</f>
        <v>52.114129999999996</v>
      </c>
      <c r="X66" s="102"/>
      <c r="Y66" s="318">
        <f>Z66+AA66</f>
        <v>50.11</v>
      </c>
      <c r="Z66" s="318">
        <v>50.11</v>
      </c>
      <c r="AA66" s="318"/>
      <c r="AB66" s="318">
        <f>AC66+AD66</f>
        <v>45.02</v>
      </c>
      <c r="AC66" s="318">
        <v>45.02</v>
      </c>
      <c r="AD66" s="318"/>
      <c r="AE66" s="191">
        <f>AB66/F66</f>
        <v>3.7516666666666669</v>
      </c>
    </row>
    <row r="67" spans="1:31" s="105" customFormat="1">
      <c r="A67" s="99">
        <f t="shared" si="0"/>
        <v>62</v>
      </c>
      <c r="B67" s="99" t="s">
        <v>124</v>
      </c>
      <c r="C67" s="231" t="s">
        <v>37</v>
      </c>
      <c r="D67" s="230">
        <v>31</v>
      </c>
      <c r="E67" s="230"/>
      <c r="F67" s="230">
        <f>'[5]Реестр УК новый'!$G$216</f>
        <v>16</v>
      </c>
      <c r="G67" s="101"/>
      <c r="H67" s="102"/>
      <c r="I67" s="102"/>
      <c r="J67" s="118">
        <f>K67+L67</f>
        <v>13.64218</v>
      </c>
      <c r="K67" s="102">
        <f>13642.18/1000</f>
        <v>13.64218</v>
      </c>
      <c r="L67" s="102"/>
      <c r="M67" s="118">
        <f>N67+O67</f>
        <v>32.904960000000003</v>
      </c>
      <c r="N67" s="102">
        <f>32904.96/1000</f>
        <v>32.904960000000003</v>
      </c>
      <c r="O67" s="102"/>
      <c r="P67" s="118">
        <f>Q67+R67</f>
        <v>47.543759999999999</v>
      </c>
      <c r="Q67" s="102">
        <f>47543.76/1000</f>
        <v>47.543759999999999</v>
      </c>
      <c r="R67" s="102"/>
      <c r="S67" s="118">
        <f>T67+U67</f>
        <v>61.51576</v>
      </c>
      <c r="T67" s="102">
        <f>61515.76/1000</f>
        <v>61.51576</v>
      </c>
      <c r="U67" s="102"/>
      <c r="V67" s="101">
        <f>W67+X67</f>
        <v>65.547359999999998</v>
      </c>
      <c r="W67" s="102">
        <f>65547.36/1000</f>
        <v>65.547359999999998</v>
      </c>
      <c r="X67" s="102"/>
      <c r="Y67" s="318">
        <f>Z67+AA67</f>
        <v>67.55</v>
      </c>
      <c r="Z67" s="318">
        <v>67.55</v>
      </c>
      <c r="AA67" s="318"/>
      <c r="AB67" s="318">
        <f>AC67+AD67</f>
        <v>58.23</v>
      </c>
      <c r="AC67" s="318">
        <v>58.23</v>
      </c>
      <c r="AD67" s="318"/>
      <c r="AE67" s="191">
        <f>AB67/F67</f>
        <v>3.6393749999999998</v>
      </c>
    </row>
    <row r="68" spans="1:31" s="105" customFormat="1">
      <c r="A68" s="99">
        <f t="shared" si="0"/>
        <v>63</v>
      </c>
      <c r="B68" s="99" t="s">
        <v>124</v>
      </c>
      <c r="C68" s="231" t="s">
        <v>38</v>
      </c>
      <c r="D68" s="230">
        <v>15</v>
      </c>
      <c r="E68" s="230"/>
      <c r="F68" s="230">
        <f>'[5]Реестр УК новый'!$G$245</f>
        <v>12</v>
      </c>
      <c r="G68" s="101"/>
      <c r="H68" s="102"/>
      <c r="I68" s="102"/>
      <c r="J68" s="118">
        <f>K68+L68</f>
        <v>13.38411</v>
      </c>
      <c r="K68" s="102">
        <f>13384.11/1000</f>
        <v>13.38411</v>
      </c>
      <c r="L68" s="102"/>
      <c r="M68" s="118">
        <f>N68+O68</f>
        <v>34.704629999999995</v>
      </c>
      <c r="N68" s="102">
        <f>34704.63/1000</f>
        <v>34.704629999999995</v>
      </c>
      <c r="O68" s="102"/>
      <c r="P68" s="118">
        <f>Q68+R68</f>
        <v>54.025059999999996</v>
      </c>
      <c r="Q68" s="102">
        <f>54025.06/1000</f>
        <v>54.025059999999996</v>
      </c>
      <c r="R68" s="102"/>
      <c r="S68" s="118">
        <f>T68+U68</f>
        <v>33.901449999999997</v>
      </c>
      <c r="T68" s="102">
        <f>33901.45/1000</f>
        <v>33.901449999999997</v>
      </c>
      <c r="U68" s="102"/>
      <c r="V68" s="101">
        <f>W68+X68</f>
        <v>48.34581</v>
      </c>
      <c r="W68" s="102">
        <f>48345.81/1000</f>
        <v>48.34581</v>
      </c>
      <c r="X68" s="102"/>
      <c r="Y68" s="318">
        <f>Z68+AA68</f>
        <v>47.36</v>
      </c>
      <c r="Z68" s="318">
        <v>47.36</v>
      </c>
      <c r="AA68" s="318"/>
      <c r="AB68" s="318">
        <f>AC68+AD68</f>
        <v>43.35</v>
      </c>
      <c r="AC68" s="318">
        <v>43.35</v>
      </c>
      <c r="AD68" s="318"/>
      <c r="AE68" s="191">
        <f>AB68/F68</f>
        <v>3.6125000000000003</v>
      </c>
    </row>
    <row r="69" spans="1:31" s="105" customFormat="1">
      <c r="A69" s="99">
        <f t="shared" si="0"/>
        <v>64</v>
      </c>
      <c r="B69" s="99" t="s">
        <v>124</v>
      </c>
      <c r="C69" s="228" t="s">
        <v>31</v>
      </c>
      <c r="D69" s="229">
        <v>48</v>
      </c>
      <c r="E69" s="230" t="s">
        <v>125</v>
      </c>
      <c r="F69" s="230">
        <f>'[5]Реестр УК новый'!$G$45</f>
        <v>12</v>
      </c>
      <c r="G69" s="118"/>
      <c r="H69" s="119"/>
      <c r="I69" s="119"/>
      <c r="J69" s="118">
        <f>K69+L69</f>
        <v>76.510410000000007</v>
      </c>
      <c r="K69" s="119">
        <f>34836.52/1000</f>
        <v>34.83652</v>
      </c>
      <c r="L69" s="119">
        <f>41673.89/1000</f>
        <v>41.67389</v>
      </c>
      <c r="M69" s="118">
        <f>N69+O69</f>
        <v>55.22184</v>
      </c>
      <c r="N69" s="119">
        <f>43140.86/1000</f>
        <v>43.140860000000004</v>
      </c>
      <c r="O69" s="119">
        <f>12080.98/1000</f>
        <v>12.08098</v>
      </c>
      <c r="P69" s="118">
        <f>Q69+R69</f>
        <v>62.318389999999994</v>
      </c>
      <c r="Q69" s="119">
        <f>52368.39/1000</f>
        <v>52.368389999999998</v>
      </c>
      <c r="R69" s="119">
        <f>9950/1000</f>
        <v>9.9499999999999993</v>
      </c>
      <c r="S69" s="118">
        <f>T69+U69</f>
        <v>66.919930000000008</v>
      </c>
      <c r="T69" s="119">
        <f>52626.76/1000</f>
        <v>52.626760000000004</v>
      </c>
      <c r="U69" s="119">
        <f>14293.17/1000</f>
        <v>14.29317</v>
      </c>
      <c r="V69" s="118">
        <f>W69+X69</f>
        <v>57.275819999999996</v>
      </c>
      <c r="W69" s="119">
        <f>48988.09/1000</f>
        <v>48.98809</v>
      </c>
      <c r="X69" s="119">
        <f>8287.73/1000</f>
        <v>8.2877299999999998</v>
      </c>
      <c r="Y69" s="318">
        <f>Z69+AA69</f>
        <v>58.12</v>
      </c>
      <c r="Z69" s="318">
        <v>49</v>
      </c>
      <c r="AA69" s="318">
        <v>9.1199999999999992</v>
      </c>
      <c r="AB69" s="318">
        <f>AC69+AD69</f>
        <v>42.519999999999996</v>
      </c>
      <c r="AC69" s="318">
        <v>35</v>
      </c>
      <c r="AD69" s="318">
        <v>7.52</v>
      </c>
      <c r="AE69" s="191">
        <f>AB69/F69</f>
        <v>3.543333333333333</v>
      </c>
    </row>
    <row r="70" spans="1:31" s="105" customFormat="1">
      <c r="A70" s="99">
        <f t="shared" si="0"/>
        <v>65</v>
      </c>
      <c r="B70" s="99" t="s">
        <v>124</v>
      </c>
      <c r="C70" s="231" t="s">
        <v>38</v>
      </c>
      <c r="D70" s="230">
        <v>23</v>
      </c>
      <c r="E70" s="230"/>
      <c r="F70" s="230">
        <f>'[5]Реестр УК новый'!$G$251</f>
        <v>12</v>
      </c>
      <c r="G70" s="101"/>
      <c r="H70" s="102"/>
      <c r="I70" s="102"/>
      <c r="J70" s="118"/>
      <c r="K70" s="102"/>
      <c r="L70" s="102"/>
      <c r="M70" s="118">
        <f>N70+O70</f>
        <v>25.475000000000001</v>
      </c>
      <c r="N70" s="102">
        <f>25475/1000</f>
        <v>25.475000000000001</v>
      </c>
      <c r="O70" s="102"/>
      <c r="P70" s="118">
        <f>Q70+R70</f>
        <v>48.54</v>
      </c>
      <c r="Q70" s="102">
        <f>48540/1000</f>
        <v>48.54</v>
      </c>
      <c r="R70" s="102"/>
      <c r="S70" s="118">
        <f>T70+U70</f>
        <v>30.574999999999999</v>
      </c>
      <c r="T70" s="102">
        <f>30575/1000</f>
        <v>30.574999999999999</v>
      </c>
      <c r="U70" s="102"/>
      <c r="V70" s="101">
        <f>W70+X70</f>
        <v>47.98</v>
      </c>
      <c r="W70" s="102">
        <f>47980/1000</f>
        <v>47.98</v>
      </c>
      <c r="X70" s="102"/>
      <c r="Y70" s="318">
        <f>Z70+AA70</f>
        <v>45.99</v>
      </c>
      <c r="Z70" s="318">
        <v>45.99</v>
      </c>
      <c r="AA70" s="318"/>
      <c r="AB70" s="318">
        <f>AC70+AD70</f>
        <v>41</v>
      </c>
      <c r="AC70" s="318">
        <v>41</v>
      </c>
      <c r="AD70" s="318"/>
      <c r="AE70" s="191">
        <f>AB70/F70</f>
        <v>3.4166666666666665</v>
      </c>
    </row>
    <row r="71" spans="1:31" s="105" customFormat="1">
      <c r="A71" s="99">
        <f t="shared" si="0"/>
        <v>66</v>
      </c>
      <c r="B71" s="99" t="s">
        <v>124</v>
      </c>
      <c r="C71" s="231" t="s">
        <v>38</v>
      </c>
      <c r="D71" s="230">
        <v>16</v>
      </c>
      <c r="E71" s="230"/>
      <c r="F71" s="230">
        <f>'[5]Реестр УК новый'!$G$246</f>
        <v>12</v>
      </c>
      <c r="G71" s="101"/>
      <c r="H71" s="102"/>
      <c r="I71" s="102"/>
      <c r="J71" s="118">
        <f>K71+L71</f>
        <v>10.520430000000001</v>
      </c>
      <c r="K71" s="102">
        <f>10520.43/1000</f>
        <v>10.520430000000001</v>
      </c>
      <c r="L71" s="102"/>
      <c r="M71" s="118">
        <f>N71+O71</f>
        <v>26.718619999999998</v>
      </c>
      <c r="N71" s="102">
        <f>26718.62/1000</f>
        <v>26.718619999999998</v>
      </c>
      <c r="O71" s="102"/>
      <c r="P71" s="118">
        <f>Q71+R71</f>
        <v>46.998599999999996</v>
      </c>
      <c r="Q71" s="102">
        <f>46998.6/1000</f>
        <v>46.998599999999996</v>
      </c>
      <c r="R71" s="102"/>
      <c r="S71" s="118">
        <f>T71+U71</f>
        <v>27.79271</v>
      </c>
      <c r="T71" s="102">
        <f>27792.71/1000</f>
        <v>27.79271</v>
      </c>
      <c r="U71" s="102"/>
      <c r="V71" s="101">
        <f>W71+X71</f>
        <v>44.472910000000006</v>
      </c>
      <c r="W71" s="102">
        <f>44472.91/1000</f>
        <v>44.472910000000006</v>
      </c>
      <c r="X71" s="102"/>
      <c r="Y71" s="318">
        <f>Z71+AA71</f>
        <v>43.47</v>
      </c>
      <c r="Z71" s="318">
        <v>43.47</v>
      </c>
      <c r="AA71" s="318"/>
      <c r="AB71" s="318">
        <f>AC71+AD71</f>
        <v>40.47</v>
      </c>
      <c r="AC71" s="318">
        <v>40.47</v>
      </c>
      <c r="AD71" s="318"/>
      <c r="AE71" s="191">
        <f>AB71/F71</f>
        <v>3.3725000000000001</v>
      </c>
    </row>
    <row r="72" spans="1:31" s="105" customFormat="1">
      <c r="A72" s="99">
        <f t="shared" ref="A72:A75" si="1">A71+1</f>
        <v>67</v>
      </c>
      <c r="B72" s="99" t="s">
        <v>124</v>
      </c>
      <c r="C72" s="231" t="s">
        <v>38</v>
      </c>
      <c r="D72" s="230">
        <v>17</v>
      </c>
      <c r="E72" s="230"/>
      <c r="F72" s="230">
        <f>'[5]Реестр УК новый'!$G$247</f>
        <v>12</v>
      </c>
      <c r="G72" s="101"/>
      <c r="H72" s="102"/>
      <c r="I72" s="102"/>
      <c r="J72" s="118">
        <f>K72+L72</f>
        <v>10.56704</v>
      </c>
      <c r="K72" s="102">
        <f>10567.04/1000</f>
        <v>10.56704</v>
      </c>
      <c r="L72" s="102"/>
      <c r="M72" s="118">
        <f>N72+O72</f>
        <v>25.319650000000003</v>
      </c>
      <c r="N72" s="102">
        <f>25319.65/1000</f>
        <v>25.319650000000003</v>
      </c>
      <c r="O72" s="102"/>
      <c r="P72" s="118">
        <f>Q72+R72</f>
        <v>47.488379999999999</v>
      </c>
      <c r="Q72" s="102">
        <f>47488.38/1000</f>
        <v>47.488379999999999</v>
      </c>
      <c r="R72" s="102"/>
      <c r="S72" s="118">
        <f>T72+U72</f>
        <v>33.308860000000003</v>
      </c>
      <c r="T72" s="102">
        <f>33308.86/1000</f>
        <v>33.308860000000003</v>
      </c>
      <c r="U72" s="102"/>
      <c r="V72" s="101">
        <f>W72+X72</f>
        <v>37.268689999999999</v>
      </c>
      <c r="W72" s="102">
        <f>37268.69/1000</f>
        <v>37.268689999999999</v>
      </c>
      <c r="X72" s="102"/>
      <c r="Y72" s="318">
        <f>Z72+AA72</f>
        <v>40.270000000000003</v>
      </c>
      <c r="Z72" s="318">
        <v>40.270000000000003</v>
      </c>
      <c r="AA72" s="318"/>
      <c r="AB72" s="318">
        <f>AC72+AD72</f>
        <v>38.28</v>
      </c>
      <c r="AC72" s="318">
        <v>38.28</v>
      </c>
      <c r="AD72" s="318"/>
      <c r="AE72" s="191">
        <f>AB72/F72</f>
        <v>3.19</v>
      </c>
    </row>
    <row r="73" spans="1:31" s="105" customFormat="1">
      <c r="A73" s="99">
        <f t="shared" si="1"/>
        <v>68</v>
      </c>
      <c r="B73" s="99" t="s">
        <v>124</v>
      </c>
      <c r="C73" s="228" t="s">
        <v>31</v>
      </c>
      <c r="D73" s="229">
        <v>48</v>
      </c>
      <c r="E73" s="230" t="s">
        <v>126</v>
      </c>
      <c r="F73" s="230">
        <f>'[5]Реестр УК новый'!$G$44</f>
        <v>12</v>
      </c>
      <c r="G73" s="101"/>
      <c r="H73" s="102"/>
      <c r="I73" s="102"/>
      <c r="J73" s="118">
        <f>K73+L73</f>
        <v>45.374639999999999</v>
      </c>
      <c r="K73" s="102">
        <f>45374.64/1000</f>
        <v>45.374639999999999</v>
      </c>
      <c r="L73" s="102"/>
      <c r="M73" s="118">
        <f>N73+O73</f>
        <v>21.847249999999995</v>
      </c>
      <c r="N73" s="102">
        <f>60176.38/1000</f>
        <v>60.176379999999995</v>
      </c>
      <c r="O73" s="102">
        <f>-38329.13/1000</f>
        <v>-38.329129999999999</v>
      </c>
      <c r="P73" s="118">
        <f>Q73+R73</f>
        <v>33.888660000000002</v>
      </c>
      <c r="Q73" s="102">
        <f>29313.81/1000</f>
        <v>29.31381</v>
      </c>
      <c r="R73" s="102">
        <f>4574.85/1000</f>
        <v>4.5748500000000005</v>
      </c>
      <c r="S73" s="118">
        <f>T73+U73</f>
        <v>35.037390000000002</v>
      </c>
      <c r="T73" s="102">
        <f>25746.36/1000</f>
        <v>25.746359999999999</v>
      </c>
      <c r="U73" s="102">
        <f>9291.03/1000</f>
        <v>9.291030000000001</v>
      </c>
      <c r="V73" s="101">
        <f>W73+X73</f>
        <v>36.740850000000002</v>
      </c>
      <c r="W73" s="102">
        <f>31723.1/1000</f>
        <v>31.723099999999999</v>
      </c>
      <c r="X73" s="102">
        <f>5017.75/1000</f>
        <v>5.0177500000000004</v>
      </c>
      <c r="Y73" s="318">
        <f>Z73+AA73</f>
        <v>37.17</v>
      </c>
      <c r="Z73" s="318">
        <v>32.15</v>
      </c>
      <c r="AA73" s="318">
        <v>5.0199999999999996</v>
      </c>
      <c r="AB73" s="318">
        <f>AC73+AD73</f>
        <v>33.21</v>
      </c>
      <c r="AC73" s="318">
        <v>30.16</v>
      </c>
      <c r="AD73" s="318">
        <v>3.05</v>
      </c>
      <c r="AE73" s="191">
        <f>AB73/F73</f>
        <v>2.7675000000000001</v>
      </c>
    </row>
    <row r="74" spans="1:31" s="105" customFormat="1">
      <c r="A74" s="99">
        <f t="shared" si="1"/>
        <v>69</v>
      </c>
      <c r="B74" s="99" t="s">
        <v>124</v>
      </c>
      <c r="C74" s="231" t="s">
        <v>90</v>
      </c>
      <c r="D74" s="230">
        <v>7</v>
      </c>
      <c r="E74" s="230"/>
      <c r="F74" s="230">
        <f>'[5]Реестр УК новый'!$G$268</f>
        <v>12</v>
      </c>
      <c r="G74" s="101"/>
      <c r="H74" s="102"/>
      <c r="I74" s="102"/>
      <c r="J74" s="118"/>
      <c r="K74" s="102"/>
      <c r="L74" s="102"/>
      <c r="M74" s="118">
        <f>N74+O74</f>
        <v>24.351369999999999</v>
      </c>
      <c r="N74" s="102">
        <f>24351.37/1000</f>
        <v>24.351369999999999</v>
      </c>
      <c r="O74" s="102"/>
      <c r="P74" s="118">
        <f>Q74+R74</f>
        <v>27.109310000000001</v>
      </c>
      <c r="Q74" s="102">
        <f>27109.31/1000</f>
        <v>27.109310000000001</v>
      </c>
      <c r="R74" s="102"/>
      <c r="S74" s="118">
        <f>T74+U74</f>
        <v>25.78096</v>
      </c>
      <c r="T74" s="102">
        <f>25780.96/1000</f>
        <v>25.78096</v>
      </c>
      <c r="U74" s="102"/>
      <c r="V74" s="101">
        <f>W74+X74</f>
        <v>35.363010000000003</v>
      </c>
      <c r="W74" s="102">
        <f>35363.01/1000</f>
        <v>35.363010000000003</v>
      </c>
      <c r="X74" s="102"/>
      <c r="Y74" s="318">
        <f>Z74+AA74</f>
        <v>37.36</v>
      </c>
      <c r="Z74" s="318">
        <v>37.36</v>
      </c>
      <c r="AA74" s="319"/>
      <c r="AB74" s="318">
        <f>AC74+AD74</f>
        <v>31.63</v>
      </c>
      <c r="AC74" s="318">
        <v>31.63</v>
      </c>
      <c r="AD74" s="319"/>
      <c r="AE74" s="191">
        <f>AB74/F74</f>
        <v>2.6358333333333333</v>
      </c>
    </row>
    <row r="75" spans="1:31" s="105" customFormat="1">
      <c r="A75" s="99">
        <f t="shared" si="1"/>
        <v>70</v>
      </c>
      <c r="B75" s="99" t="s">
        <v>124</v>
      </c>
      <c r="C75" s="231" t="s">
        <v>38</v>
      </c>
      <c r="D75" s="230">
        <v>19</v>
      </c>
      <c r="E75" s="230"/>
      <c r="F75" s="230">
        <f>'[5]Реестр УК новый'!$G$248</f>
        <v>12</v>
      </c>
      <c r="G75" s="101"/>
      <c r="H75" s="102"/>
      <c r="I75" s="102"/>
      <c r="J75" s="118"/>
      <c r="K75" s="102"/>
      <c r="L75" s="102"/>
      <c r="M75" s="118"/>
      <c r="N75" s="102"/>
      <c r="O75" s="102"/>
      <c r="P75" s="118"/>
      <c r="Q75" s="102"/>
      <c r="R75" s="102"/>
      <c r="S75" s="118">
        <f>T75+U75</f>
        <v>0</v>
      </c>
      <c r="T75" s="102"/>
      <c r="U75" s="102"/>
      <c r="V75" s="101">
        <f>W75+X75</f>
        <v>25.5502</v>
      </c>
      <c r="W75" s="102">
        <f>25550.2/1000</f>
        <v>25.5502</v>
      </c>
      <c r="X75" s="102"/>
      <c r="Y75" s="318">
        <f>Z75+AA75</f>
        <v>25.25</v>
      </c>
      <c r="Z75" s="318">
        <v>25.25</v>
      </c>
      <c r="AA75" s="319"/>
      <c r="AB75" s="318">
        <f>AC75+AD75</f>
        <v>26.15</v>
      </c>
      <c r="AC75" s="318">
        <v>26.15</v>
      </c>
      <c r="AD75" s="319"/>
      <c r="AE75" s="191">
        <f>AB75/F75</f>
        <v>2.1791666666666667</v>
      </c>
    </row>
    <row r="76" spans="1:31" s="94" customFormat="1">
      <c r="A76" s="137"/>
      <c r="B76" s="26" t="s">
        <v>8</v>
      </c>
      <c r="C76" s="117"/>
      <c r="D76" s="117"/>
      <c r="E76" s="117"/>
      <c r="F76" s="25">
        <f>SUM(F6:F75)</f>
        <v>927</v>
      </c>
      <c r="G76" s="36">
        <f>SUM(G6:G75)</f>
        <v>340.24567000000002</v>
      </c>
      <c r="H76" s="36">
        <f>SUM(H6:H75)</f>
        <v>233.26495999999997</v>
      </c>
      <c r="I76" s="36">
        <f>SUM(I6:I75)</f>
        <v>106.98071</v>
      </c>
      <c r="J76" s="36">
        <f t="shared" ref="J76:N76" si="2">SUM(J6:J75)</f>
        <v>3876.6476900000007</v>
      </c>
      <c r="K76" s="36">
        <f t="shared" si="2"/>
        <v>1977.1708500000004</v>
      </c>
      <c r="L76" s="36">
        <f t="shared" si="2"/>
        <v>1899.4768399999998</v>
      </c>
      <c r="M76" s="36">
        <f>SUM(M6:M75)</f>
        <v>4255.1715300000014</v>
      </c>
      <c r="N76" s="36">
        <f t="shared" si="2"/>
        <v>3142.9578900000006</v>
      </c>
      <c r="O76" s="36">
        <f>SUM(O6:O75)</f>
        <v>1112.2136399999997</v>
      </c>
      <c r="P76" s="36">
        <f t="shared" ref="P76:X76" si="3">SUM(P6:P75)</f>
        <v>5280.89059</v>
      </c>
      <c r="Q76" s="36">
        <f t="shared" si="3"/>
        <v>3925.0416899999991</v>
      </c>
      <c r="R76" s="36">
        <f t="shared" si="3"/>
        <v>1355.8489</v>
      </c>
      <c r="S76" s="36">
        <f t="shared" si="3"/>
        <v>7079.5100800000009</v>
      </c>
      <c r="T76" s="36">
        <f t="shared" si="3"/>
        <v>4636.0135799999998</v>
      </c>
      <c r="U76" s="36">
        <f t="shared" si="3"/>
        <v>2443.4965000000007</v>
      </c>
      <c r="V76" s="36">
        <f t="shared" si="3"/>
        <v>7950.6233599999996</v>
      </c>
      <c r="W76" s="36">
        <f t="shared" si="3"/>
        <v>5661.2223999999987</v>
      </c>
      <c r="X76" s="36">
        <f t="shared" si="3"/>
        <v>2289.4009599999995</v>
      </c>
      <c r="Y76" s="36">
        <f t="shared" ref="Y76:AA76" si="4">SUM(Y6:Y75)</f>
        <v>8270.1399999999976</v>
      </c>
      <c r="Z76" s="36">
        <f t="shared" si="4"/>
        <v>5773.5</v>
      </c>
      <c r="AA76" s="36">
        <f t="shared" si="4"/>
        <v>2496.64</v>
      </c>
      <c r="AB76" s="36">
        <f t="shared" ref="AB76" si="5">SUM(AB6:AB75)</f>
        <v>7984.4800000000005</v>
      </c>
      <c r="AC76" s="36">
        <f>SUM(AC6:AC75)</f>
        <v>5570.0699999999988</v>
      </c>
      <c r="AD76" s="36">
        <f>SUM(AD6:AD75)</f>
        <v>2414.4100000000003</v>
      </c>
      <c r="AE76" s="117"/>
    </row>
    <row r="78" spans="1:31" s="87" customFormat="1" ht="12.75">
      <c r="B78" s="88" t="s">
        <v>144</v>
      </c>
    </row>
    <row r="79" spans="1:31" s="87" customFormat="1" ht="44.25" customHeight="1">
      <c r="B79" s="249" t="s">
        <v>154</v>
      </c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</row>
  </sheetData>
  <sortState ref="C6:AE75">
    <sortCondition descending="1" ref="AE6:AE75"/>
  </sortState>
  <mergeCells count="34">
    <mergeCell ref="AB3:AD3"/>
    <mergeCell ref="AB4:AB5"/>
    <mergeCell ref="AC4:AD4"/>
    <mergeCell ref="B79:AE79"/>
    <mergeCell ref="Z4:AA4"/>
    <mergeCell ref="A3:A5"/>
    <mergeCell ref="B3:B5"/>
    <mergeCell ref="C3:E3"/>
    <mergeCell ref="G3:I3"/>
    <mergeCell ref="J3:L3"/>
    <mergeCell ref="C4:C5"/>
    <mergeCell ref="D4:D5"/>
    <mergeCell ref="E4:E5"/>
    <mergeCell ref="F3:F5"/>
    <mergeCell ref="G4:G5"/>
    <mergeCell ref="H4:I4"/>
    <mergeCell ref="J4:J5"/>
    <mergeCell ref="K4:L4"/>
    <mergeCell ref="V3:X3"/>
    <mergeCell ref="V4:V5"/>
    <mergeCell ref="W4:X4"/>
    <mergeCell ref="AE3:AE5"/>
    <mergeCell ref="C1:N1"/>
    <mergeCell ref="M3:O3"/>
    <mergeCell ref="P3:R3"/>
    <mergeCell ref="S3:U3"/>
    <mergeCell ref="P4:P5"/>
    <mergeCell ref="Q4:R4"/>
    <mergeCell ref="S4:S5"/>
    <mergeCell ref="T4:U4"/>
    <mergeCell ref="M4:M5"/>
    <mergeCell ref="N4:O4"/>
    <mergeCell ref="Y3:AA3"/>
    <mergeCell ref="Y4:Y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3"/>
  <sheetViews>
    <sheetView topLeftCell="A28" zoomScaleSheetLayoutView="100" workbookViewId="0">
      <selection activeCell="AF4" sqref="A4:XFD50"/>
    </sheetView>
  </sheetViews>
  <sheetFormatPr defaultRowHeight="15" outlineLevelCol="1"/>
  <cols>
    <col min="1" max="1" width="5" customWidth="1"/>
    <col min="2" max="2" width="13.5703125" customWidth="1"/>
    <col min="3" max="3" width="14.5703125" customWidth="1"/>
    <col min="6" max="6" width="12.5703125" style="19" customWidth="1"/>
    <col min="7" max="7" width="13.5703125" customWidth="1"/>
    <col min="8" max="8" width="12.85546875" customWidth="1"/>
    <col min="9" max="9" width="13.7109375" customWidth="1"/>
    <col min="10" max="10" width="9.140625" hidden="1" customWidth="1" outlineLevel="1"/>
    <col min="11" max="11" width="10" hidden="1" customWidth="1" outlineLevel="1"/>
    <col min="12" max="12" width="11.85546875" hidden="1" customWidth="1" outlineLevel="1"/>
    <col min="13" max="13" width="9.140625" hidden="1" customWidth="1" outlineLevel="1"/>
    <col min="14" max="14" width="10.42578125" hidden="1" customWidth="1" outlineLevel="1"/>
    <col min="15" max="15" width="12.85546875" hidden="1" customWidth="1" outlineLevel="1"/>
    <col min="16" max="16" width="9.140625" hidden="1" customWidth="1" outlineLevel="1"/>
    <col min="17" max="17" width="10.42578125" hidden="1" customWidth="1" outlineLevel="1"/>
    <col min="18" max="27" width="12.85546875" hidden="1" customWidth="1" outlineLevel="1"/>
    <col min="28" max="28" width="12.85546875" customWidth="1" collapsed="1"/>
    <col min="29" max="31" width="12.85546875" customWidth="1"/>
  </cols>
  <sheetData>
    <row r="1" spans="1:31">
      <c r="C1" s="250" t="s">
        <v>13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ht="36" customHeight="1">
      <c r="C2" s="251" t="s">
        <v>108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31">
      <c r="O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9</v>
      </c>
    </row>
    <row r="4" spans="1:31" ht="29.25" customHeight="1">
      <c r="A4" s="247" t="s">
        <v>0</v>
      </c>
      <c r="B4" s="247" t="s">
        <v>15</v>
      </c>
      <c r="C4" s="247" t="s">
        <v>1</v>
      </c>
      <c r="D4" s="247"/>
      <c r="E4" s="247"/>
      <c r="F4" s="248" t="s">
        <v>80</v>
      </c>
      <c r="G4" s="244" t="s">
        <v>10</v>
      </c>
      <c r="H4" s="244"/>
      <c r="I4" s="244"/>
      <c r="J4" s="244" t="s">
        <v>11</v>
      </c>
      <c r="K4" s="244"/>
      <c r="L4" s="244"/>
      <c r="M4" s="244" t="s">
        <v>12</v>
      </c>
      <c r="N4" s="244"/>
      <c r="O4" s="244"/>
      <c r="P4" s="253" t="s">
        <v>41</v>
      </c>
      <c r="Q4" s="253"/>
      <c r="R4" s="253"/>
      <c r="S4" s="244" t="s">
        <v>110</v>
      </c>
      <c r="T4" s="244"/>
      <c r="U4" s="244"/>
      <c r="V4" s="244" t="s">
        <v>121</v>
      </c>
      <c r="W4" s="244"/>
      <c r="X4" s="244"/>
      <c r="Y4" s="244" t="s">
        <v>141</v>
      </c>
      <c r="Z4" s="244"/>
      <c r="AA4" s="244"/>
      <c r="AB4" s="244" t="s">
        <v>142</v>
      </c>
      <c r="AC4" s="244"/>
      <c r="AD4" s="244"/>
      <c r="AE4" s="252" t="s">
        <v>109</v>
      </c>
    </row>
    <row r="5" spans="1:31" ht="13.5" customHeight="1">
      <c r="A5" s="247"/>
      <c r="B5" s="247"/>
      <c r="C5" s="247" t="s">
        <v>2</v>
      </c>
      <c r="D5" s="247" t="s">
        <v>3</v>
      </c>
      <c r="E5" s="247" t="s">
        <v>4</v>
      </c>
      <c r="F5" s="248"/>
      <c r="G5" s="245" t="s">
        <v>5</v>
      </c>
      <c r="H5" s="246" t="s">
        <v>14</v>
      </c>
      <c r="I5" s="246"/>
      <c r="J5" s="245" t="s">
        <v>5</v>
      </c>
      <c r="K5" s="246" t="s">
        <v>14</v>
      </c>
      <c r="L5" s="246"/>
      <c r="M5" s="245" t="s">
        <v>5</v>
      </c>
      <c r="N5" s="246" t="s">
        <v>14</v>
      </c>
      <c r="O5" s="246"/>
      <c r="P5" s="245" t="s">
        <v>5</v>
      </c>
      <c r="Q5" s="246" t="s">
        <v>14</v>
      </c>
      <c r="R5" s="246"/>
      <c r="S5" s="245" t="s">
        <v>5</v>
      </c>
      <c r="T5" s="246" t="s">
        <v>14</v>
      </c>
      <c r="U5" s="246"/>
      <c r="V5" s="245" t="s">
        <v>5</v>
      </c>
      <c r="W5" s="246" t="s">
        <v>14</v>
      </c>
      <c r="X5" s="246"/>
      <c r="Y5" s="245" t="s">
        <v>5</v>
      </c>
      <c r="Z5" s="246" t="s">
        <v>14</v>
      </c>
      <c r="AA5" s="246"/>
      <c r="AB5" s="245" t="s">
        <v>5</v>
      </c>
      <c r="AC5" s="246" t="s">
        <v>14</v>
      </c>
      <c r="AD5" s="246"/>
      <c r="AE5" s="252"/>
    </row>
    <row r="6" spans="1:31" ht="38.25">
      <c r="A6" s="247"/>
      <c r="B6" s="247"/>
      <c r="C6" s="247"/>
      <c r="D6" s="247"/>
      <c r="E6" s="247"/>
      <c r="F6" s="248"/>
      <c r="G6" s="245"/>
      <c r="H6" s="80" t="s">
        <v>6</v>
      </c>
      <c r="I6" s="80" t="s">
        <v>7</v>
      </c>
      <c r="J6" s="245"/>
      <c r="K6" s="80" t="s">
        <v>6</v>
      </c>
      <c r="L6" s="80" t="s">
        <v>7</v>
      </c>
      <c r="M6" s="245"/>
      <c r="N6" s="80" t="s">
        <v>6</v>
      </c>
      <c r="O6" s="80" t="s">
        <v>7</v>
      </c>
      <c r="P6" s="245"/>
      <c r="Q6" s="80" t="s">
        <v>6</v>
      </c>
      <c r="R6" s="80" t="s">
        <v>7</v>
      </c>
      <c r="S6" s="245"/>
      <c r="T6" s="24" t="s">
        <v>6</v>
      </c>
      <c r="U6" s="24" t="s">
        <v>7</v>
      </c>
      <c r="V6" s="245"/>
      <c r="W6" s="24" t="s">
        <v>6</v>
      </c>
      <c r="X6" s="24" t="s">
        <v>7</v>
      </c>
      <c r="Y6" s="245"/>
      <c r="Z6" s="24" t="s">
        <v>6</v>
      </c>
      <c r="AA6" s="24" t="s">
        <v>7</v>
      </c>
      <c r="AB6" s="245"/>
      <c r="AC6" s="24" t="s">
        <v>6</v>
      </c>
      <c r="AD6" s="24" t="s">
        <v>7</v>
      </c>
      <c r="AE6" s="252"/>
    </row>
    <row r="7" spans="1:31">
      <c r="A7" s="78">
        <v>1</v>
      </c>
      <c r="B7" s="78" t="s">
        <v>16</v>
      </c>
      <c r="C7" s="83" t="s">
        <v>19</v>
      </c>
      <c r="D7" s="83">
        <v>21</v>
      </c>
      <c r="E7" s="83" t="s">
        <v>20</v>
      </c>
      <c r="F7" s="84">
        <v>98</v>
      </c>
      <c r="G7" s="45">
        <f t="shared" ref="G7:G15" si="0">H7+I7</f>
        <v>4775.3</v>
      </c>
      <c r="H7" s="45">
        <f>1356.3+561.29</f>
        <v>1917.59</v>
      </c>
      <c r="I7" s="45">
        <f>2247.7+610.01</f>
        <v>2857.71</v>
      </c>
      <c r="J7" s="45">
        <f t="shared" ref="J7:J15" si="1">K7+L7</f>
        <v>4612.3999999999996</v>
      </c>
      <c r="K7" s="45">
        <f>688.7+1463.47</f>
        <v>2152.17</v>
      </c>
      <c r="L7" s="45">
        <f>929.6+1530.63</f>
        <v>2460.23</v>
      </c>
      <c r="M7" s="45">
        <f t="shared" ref="M7:M15" si="2">N7+O7</f>
        <v>4386.8099999999995</v>
      </c>
      <c r="N7" s="45">
        <f>672.2+1433.83</f>
        <v>2106.0299999999997</v>
      </c>
      <c r="O7" s="45">
        <f>909.3+1371.48</f>
        <v>2280.7799999999997</v>
      </c>
      <c r="P7" s="45">
        <f t="shared" ref="P7:P15" si="3">Q7+R7</f>
        <v>4360.54</v>
      </c>
      <c r="Q7" s="45">
        <f>608+1505.63</f>
        <v>2113.63</v>
      </c>
      <c r="R7" s="45">
        <f>856.7+1090.21+300</f>
        <v>2246.91</v>
      </c>
      <c r="S7" s="45">
        <f t="shared" ref="S7:S15" si="4">T7+U7</f>
        <v>4452.5</v>
      </c>
      <c r="T7" s="45">
        <f>1464.67+584.8</f>
        <v>2049.4700000000003</v>
      </c>
      <c r="U7" s="45">
        <f>1583.63+819.4</f>
        <v>2403.0300000000002</v>
      </c>
      <c r="V7" s="5">
        <f t="shared" ref="V7:V15" si="5">W7+X7</f>
        <v>4589.82</v>
      </c>
      <c r="W7" s="6">
        <v>2084.21</v>
      </c>
      <c r="X7" s="6">
        <v>2505.61</v>
      </c>
      <c r="Y7" s="5">
        <f t="shared" ref="Y7:Y15" si="6">Z7+AA7</f>
        <v>4497.05</v>
      </c>
      <c r="Z7" s="6">
        <f>1768.38+18.62</f>
        <v>1787</v>
      </c>
      <c r="AA7" s="6">
        <v>2710.05</v>
      </c>
      <c r="AB7" s="85">
        <f t="shared" ref="AB7:AB15" si="7">AC7+AD7</f>
        <v>4181.49</v>
      </c>
      <c r="AC7" s="86">
        <f>1147.84+524</f>
        <v>1671.84</v>
      </c>
      <c r="AD7" s="86">
        <f>1780.05+729.6</f>
        <v>2509.65</v>
      </c>
      <c r="AE7" s="85">
        <f t="shared" ref="AE7:AE15" si="8">AB7/F7</f>
        <v>42.66826530612245</v>
      </c>
    </row>
    <row r="8" spans="1:31">
      <c r="A8" s="78">
        <f>A7+1</f>
        <v>2</v>
      </c>
      <c r="B8" s="78" t="s">
        <v>16</v>
      </c>
      <c r="C8" s="78" t="s">
        <v>17</v>
      </c>
      <c r="D8" s="78">
        <v>8</v>
      </c>
      <c r="E8" s="78"/>
      <c r="F8" s="20">
        <v>227</v>
      </c>
      <c r="G8" s="6">
        <f t="shared" si="0"/>
        <v>3999.1000000000004</v>
      </c>
      <c r="H8" s="5">
        <f>835.2+863.44</f>
        <v>1698.64</v>
      </c>
      <c r="I8" s="5">
        <f>1234.3+1066.16</f>
        <v>2300.46</v>
      </c>
      <c r="J8" s="5">
        <f t="shared" si="1"/>
        <v>3025.83</v>
      </c>
      <c r="K8" s="5">
        <f>-17.9+1468.08</f>
        <v>1450.1799999999998</v>
      </c>
      <c r="L8" s="5">
        <f>-2.9+1578.55</f>
        <v>1575.6499999999999</v>
      </c>
      <c r="M8" s="5">
        <f t="shared" si="2"/>
        <v>2531.27</v>
      </c>
      <c r="N8" s="5">
        <f>6.2+1369.34</f>
        <v>1375.54</v>
      </c>
      <c r="O8" s="5">
        <f>1155.73</f>
        <v>1155.73</v>
      </c>
      <c r="P8" s="5">
        <f t="shared" si="3"/>
        <v>2294.8199999999997</v>
      </c>
      <c r="Q8" s="6">
        <f>6.2+1175.36+141.3</f>
        <v>1322.86</v>
      </c>
      <c r="R8" s="6">
        <f>813.26+158.7</f>
        <v>971.96</v>
      </c>
      <c r="S8" s="5">
        <f t="shared" si="4"/>
        <v>2686.73</v>
      </c>
      <c r="T8" s="6">
        <f>1316.07+10.2</f>
        <v>1326.27</v>
      </c>
      <c r="U8" s="6">
        <f>1347.46+13</f>
        <v>1360.46</v>
      </c>
      <c r="V8" s="5">
        <f t="shared" si="5"/>
        <v>2725.88</v>
      </c>
      <c r="W8" s="6">
        <f>1314.58</f>
        <v>1314.58</v>
      </c>
      <c r="X8" s="6">
        <f>1411.3</f>
        <v>1411.3</v>
      </c>
      <c r="Y8" s="5">
        <f t="shared" si="6"/>
        <v>2894.51</v>
      </c>
      <c r="Z8" s="6">
        <f>1109.19+200</f>
        <v>1309.19</v>
      </c>
      <c r="AA8" s="6">
        <v>1585.32</v>
      </c>
      <c r="AB8" s="5">
        <f t="shared" si="7"/>
        <v>2955.95</v>
      </c>
      <c r="AC8" s="29">
        <f>1320.58+10.2</f>
        <v>1330.78</v>
      </c>
      <c r="AD8" s="29">
        <v>1625.17</v>
      </c>
      <c r="AE8" s="6">
        <f t="shared" si="8"/>
        <v>13.02180616740088</v>
      </c>
    </row>
    <row r="9" spans="1:31">
      <c r="A9" s="78">
        <f t="shared" ref="A9:A49" si="9">A8+1</f>
        <v>3</v>
      </c>
      <c r="B9" s="78" t="s">
        <v>16</v>
      </c>
      <c r="C9" s="78" t="s">
        <v>17</v>
      </c>
      <c r="D9" s="78">
        <v>10</v>
      </c>
      <c r="E9" s="78"/>
      <c r="F9" s="20">
        <v>149</v>
      </c>
      <c r="G9" s="6">
        <f t="shared" si="0"/>
        <v>1652.58</v>
      </c>
      <c r="H9" s="5">
        <v>831.83</v>
      </c>
      <c r="I9" s="5">
        <v>820.75</v>
      </c>
      <c r="J9" s="5">
        <f t="shared" si="1"/>
        <v>1907.77</v>
      </c>
      <c r="K9" s="5">
        <v>941.95</v>
      </c>
      <c r="L9" s="5">
        <v>965.82</v>
      </c>
      <c r="M9" s="5">
        <f t="shared" si="2"/>
        <v>2166.16</v>
      </c>
      <c r="N9" s="5">
        <f>1042.07+122.93</f>
        <v>1165</v>
      </c>
      <c r="O9" s="5">
        <f>812.28+188.88</f>
        <v>1001.16</v>
      </c>
      <c r="P9" s="5">
        <f t="shared" si="3"/>
        <v>2583.06</v>
      </c>
      <c r="Q9" s="6">
        <f>1085.31+300</f>
        <v>1385.31</v>
      </c>
      <c r="R9" s="6">
        <f>897.75+300</f>
        <v>1197.75</v>
      </c>
      <c r="S9" s="5">
        <f t="shared" si="4"/>
        <v>2657.75</v>
      </c>
      <c r="T9" s="6">
        <f>1327.6</f>
        <v>1327.6</v>
      </c>
      <c r="U9" s="6">
        <f>1330.15</f>
        <v>1330.15</v>
      </c>
      <c r="V9" s="5">
        <f t="shared" si="5"/>
        <v>2706.1099999999997</v>
      </c>
      <c r="W9" s="6">
        <v>1378.08</v>
      </c>
      <c r="X9" s="6">
        <v>1328.03</v>
      </c>
      <c r="Y9" s="5">
        <f t="shared" si="6"/>
        <v>2815.36</v>
      </c>
      <c r="Z9" s="6">
        <v>1332.18</v>
      </c>
      <c r="AA9" s="6">
        <v>1483.18</v>
      </c>
      <c r="AB9" s="5">
        <f t="shared" si="7"/>
        <v>2877.74</v>
      </c>
      <c r="AC9" s="29">
        <v>1343.79</v>
      </c>
      <c r="AD9" s="29">
        <v>1533.95</v>
      </c>
      <c r="AE9" s="6">
        <f t="shared" si="8"/>
        <v>19.313691275167784</v>
      </c>
    </row>
    <row r="10" spans="1:31">
      <c r="A10" s="78">
        <f t="shared" si="9"/>
        <v>4</v>
      </c>
      <c r="B10" s="78" t="s">
        <v>16</v>
      </c>
      <c r="C10" s="77" t="s">
        <v>23</v>
      </c>
      <c r="D10" s="77">
        <v>7</v>
      </c>
      <c r="E10" s="77"/>
      <c r="F10" s="34">
        <v>177</v>
      </c>
      <c r="G10" s="45">
        <f t="shared" si="0"/>
        <v>3849.48</v>
      </c>
      <c r="H10" s="45">
        <f>863+640.41+300</f>
        <v>1803.4099999999999</v>
      </c>
      <c r="I10" s="45">
        <f>1482.4+863.67-300</f>
        <v>2046.0700000000002</v>
      </c>
      <c r="J10" s="45">
        <f t="shared" si="1"/>
        <v>3369.29</v>
      </c>
      <c r="K10" s="45">
        <f>346.2+993.4</f>
        <v>1339.6</v>
      </c>
      <c r="L10" s="45">
        <f>722+1307.69</f>
        <v>2029.69</v>
      </c>
      <c r="M10" s="45">
        <f t="shared" si="2"/>
        <v>3415</v>
      </c>
      <c r="N10" s="45">
        <f>315.4+1236</f>
        <v>1551.4</v>
      </c>
      <c r="O10" s="45">
        <f>694.2+1169.4</f>
        <v>1863.6000000000001</v>
      </c>
      <c r="P10" s="45">
        <f t="shared" si="3"/>
        <v>2752.14</v>
      </c>
      <c r="Q10" s="45">
        <f>290.7+890.72</f>
        <v>1181.42</v>
      </c>
      <c r="R10" s="45">
        <f>643.8+926.92</f>
        <v>1570.7199999999998</v>
      </c>
      <c r="S10" s="45">
        <f t="shared" si="4"/>
        <v>3029.6099999999997</v>
      </c>
      <c r="T10" s="45">
        <f>963.7+200.6</f>
        <v>1164.3</v>
      </c>
      <c r="U10" s="45">
        <f>1313.6+468.3+83.41</f>
        <v>1865.31</v>
      </c>
      <c r="V10" s="5">
        <f t="shared" si="5"/>
        <v>2873.48</v>
      </c>
      <c r="W10" s="6">
        <v>1080.2</v>
      </c>
      <c r="X10" s="6">
        <v>1793.28</v>
      </c>
      <c r="Y10" s="5">
        <f t="shared" si="6"/>
        <v>2834.64</v>
      </c>
      <c r="Z10" s="6">
        <v>1007.83</v>
      </c>
      <c r="AA10" s="6">
        <v>1826.81</v>
      </c>
      <c r="AB10" s="5">
        <f t="shared" si="7"/>
        <v>2771.4399999999996</v>
      </c>
      <c r="AC10" s="29">
        <f>923.43+143</f>
        <v>1066.4299999999998</v>
      </c>
      <c r="AD10" s="29">
        <f>1258.34+298.3+148.37</f>
        <v>1705.0099999999998</v>
      </c>
      <c r="AE10" s="6">
        <f t="shared" si="8"/>
        <v>15.65785310734463</v>
      </c>
    </row>
    <row r="11" spans="1:31">
      <c r="A11" s="78">
        <f t="shared" si="9"/>
        <v>5</v>
      </c>
      <c r="B11" s="78" t="s">
        <v>16</v>
      </c>
      <c r="C11" s="77" t="s">
        <v>22</v>
      </c>
      <c r="D11" s="77">
        <v>14</v>
      </c>
      <c r="E11" s="77"/>
      <c r="F11" s="34">
        <v>96</v>
      </c>
      <c r="G11" s="45">
        <f t="shared" si="0"/>
        <v>3117.91</v>
      </c>
      <c r="H11" s="45">
        <f>709.3+341.13+348.36</f>
        <v>1398.79</v>
      </c>
      <c r="I11" s="45">
        <f>1617.2+651.72-201.44-348.36</f>
        <v>1719.12</v>
      </c>
      <c r="J11" s="45">
        <f t="shared" si="1"/>
        <v>2847.25</v>
      </c>
      <c r="K11" s="45">
        <f>422.4+467.87+144.15</f>
        <v>1034.42</v>
      </c>
      <c r="L11" s="45">
        <f>643.1+773.66+396.07</f>
        <v>1812.83</v>
      </c>
      <c r="M11" s="45">
        <f t="shared" si="2"/>
        <v>2774.13</v>
      </c>
      <c r="N11" s="45">
        <f>402.6+695.17</f>
        <v>1097.77</v>
      </c>
      <c r="O11" s="45">
        <f>636.4+1039.96</f>
        <v>1676.3600000000001</v>
      </c>
      <c r="P11" s="45">
        <f t="shared" si="3"/>
        <v>2464.33</v>
      </c>
      <c r="Q11" s="45">
        <f>354.2+538.79</f>
        <v>892.99</v>
      </c>
      <c r="R11" s="45">
        <f>595.9+675.44+300</f>
        <v>1571.3400000000001</v>
      </c>
      <c r="S11" s="45">
        <f t="shared" si="4"/>
        <v>2541.5200000000004</v>
      </c>
      <c r="T11" s="45">
        <f>578.77+352.2</f>
        <v>930.97</v>
      </c>
      <c r="U11" s="45">
        <f>1017.35+593.2</f>
        <v>1610.5500000000002</v>
      </c>
      <c r="V11" s="5">
        <f t="shared" si="5"/>
        <v>2487.89</v>
      </c>
      <c r="W11" s="6">
        <f>870.32+46.8</f>
        <v>917.12</v>
      </c>
      <c r="X11" s="6">
        <f>1436.58+134.19</f>
        <v>1570.77</v>
      </c>
      <c r="Y11" s="5">
        <f t="shared" si="6"/>
        <v>2691.87</v>
      </c>
      <c r="Z11" s="6">
        <v>994.65</v>
      </c>
      <c r="AA11" s="6">
        <v>1697.22</v>
      </c>
      <c r="AB11" s="5">
        <f t="shared" si="7"/>
        <v>2664.35</v>
      </c>
      <c r="AC11" s="29">
        <f>792.15+154.1</f>
        <v>946.25</v>
      </c>
      <c r="AD11" s="29">
        <f>1404.1+314</f>
        <v>1718.1</v>
      </c>
      <c r="AE11" s="6">
        <f t="shared" si="8"/>
        <v>27.753645833333334</v>
      </c>
    </row>
    <row r="12" spans="1:31">
      <c r="A12" s="78">
        <f t="shared" si="9"/>
        <v>6</v>
      </c>
      <c r="B12" s="78" t="s">
        <v>16</v>
      </c>
      <c r="C12" s="78" t="s">
        <v>19</v>
      </c>
      <c r="D12" s="78">
        <v>19</v>
      </c>
      <c r="E12" s="78"/>
      <c r="F12" s="20">
        <v>58</v>
      </c>
      <c r="G12" s="6">
        <f t="shared" si="0"/>
        <v>1389.3000000000002</v>
      </c>
      <c r="H12" s="5">
        <f>264.8+259.06</f>
        <v>523.86</v>
      </c>
      <c r="I12" s="5">
        <f>516.5+348.94</f>
        <v>865.44</v>
      </c>
      <c r="J12" s="5">
        <f t="shared" si="1"/>
        <v>1219.46</v>
      </c>
      <c r="K12" s="5">
        <f>142+387.28</f>
        <v>529.28</v>
      </c>
      <c r="L12" s="5">
        <f>223.5+466.68</f>
        <v>690.18000000000006</v>
      </c>
      <c r="M12" s="5">
        <f t="shared" si="2"/>
        <v>1309.5500000000002</v>
      </c>
      <c r="N12" s="5">
        <f>142+471.16</f>
        <v>613.16000000000008</v>
      </c>
      <c r="O12" s="5">
        <f>223.5+472.89</f>
        <v>696.39</v>
      </c>
      <c r="P12" s="5">
        <f t="shared" si="3"/>
        <v>1386.3600000000001</v>
      </c>
      <c r="Q12" s="6">
        <f>141.9+473.92+100</f>
        <v>715.82</v>
      </c>
      <c r="R12" s="6">
        <f>223.5+447.04</f>
        <v>670.54</v>
      </c>
      <c r="S12" s="5">
        <f t="shared" si="4"/>
        <v>1505.08</v>
      </c>
      <c r="T12" s="6">
        <f>487.3+142</f>
        <v>629.29999999999995</v>
      </c>
      <c r="U12" s="6">
        <f>652.28+223.5</f>
        <v>875.78</v>
      </c>
      <c r="V12" s="5">
        <f t="shared" si="5"/>
        <v>1592.8000000000002</v>
      </c>
      <c r="W12" s="6">
        <v>663.61</v>
      </c>
      <c r="X12" s="6">
        <v>929.19</v>
      </c>
      <c r="Y12" s="5">
        <f t="shared" si="6"/>
        <v>1549.79</v>
      </c>
      <c r="Z12" s="6">
        <v>536.09</v>
      </c>
      <c r="AA12" s="6">
        <v>1013.7</v>
      </c>
      <c r="AB12" s="5">
        <f t="shared" si="7"/>
        <v>1402.99</v>
      </c>
      <c r="AC12" s="29">
        <f>460.15+84.6</f>
        <v>544.75</v>
      </c>
      <c r="AD12" s="29">
        <f>747.54+110.7</f>
        <v>858.24</v>
      </c>
      <c r="AE12" s="6">
        <f t="shared" si="8"/>
        <v>24.189482758620692</v>
      </c>
    </row>
    <row r="13" spans="1:31">
      <c r="A13" s="78">
        <f t="shared" si="9"/>
        <v>7</v>
      </c>
      <c r="B13" s="78" t="s">
        <v>16</v>
      </c>
      <c r="C13" s="78" t="s">
        <v>18</v>
      </c>
      <c r="D13" s="78">
        <v>7</v>
      </c>
      <c r="E13" s="78"/>
      <c r="F13" s="20">
        <v>70</v>
      </c>
      <c r="G13" s="6">
        <f t="shared" si="0"/>
        <v>648.04</v>
      </c>
      <c r="H13" s="5">
        <v>317.19</v>
      </c>
      <c r="I13" s="5">
        <v>330.85</v>
      </c>
      <c r="J13" s="5">
        <f t="shared" si="1"/>
        <v>787.56999999999994</v>
      </c>
      <c r="K13" s="5">
        <v>407.69</v>
      </c>
      <c r="L13" s="5">
        <v>379.88</v>
      </c>
      <c r="M13" s="5">
        <f t="shared" si="2"/>
        <v>747.8</v>
      </c>
      <c r="N13" s="5">
        <v>443.91</v>
      </c>
      <c r="O13" s="5">
        <v>303.89</v>
      </c>
      <c r="P13" s="5">
        <f t="shared" si="3"/>
        <v>1037.9499999999998</v>
      </c>
      <c r="Q13" s="6">
        <f>462.58+100</f>
        <v>562.57999999999993</v>
      </c>
      <c r="R13" s="6">
        <f>275.37+200</f>
        <v>475.37</v>
      </c>
      <c r="S13" s="5">
        <f t="shared" si="4"/>
        <v>1084.3499999999999</v>
      </c>
      <c r="T13" s="6">
        <f>480.05</f>
        <v>480.05</v>
      </c>
      <c r="U13" s="6">
        <f>604.3</f>
        <v>604.29999999999995</v>
      </c>
      <c r="V13" s="5">
        <f t="shared" si="5"/>
        <v>1151.5</v>
      </c>
      <c r="W13" s="6">
        <v>492.64</v>
      </c>
      <c r="X13" s="6">
        <v>658.86</v>
      </c>
      <c r="Y13" s="5">
        <f t="shared" si="6"/>
        <v>1214.78</v>
      </c>
      <c r="Z13" s="6">
        <v>452.34</v>
      </c>
      <c r="AA13" s="6">
        <f>442.44+320</f>
        <v>762.44</v>
      </c>
      <c r="AB13" s="5">
        <f t="shared" si="7"/>
        <v>1262.6500000000001</v>
      </c>
      <c r="AC13" s="29">
        <v>455.55</v>
      </c>
      <c r="AD13" s="29">
        <v>807.1</v>
      </c>
      <c r="AE13" s="6">
        <f t="shared" si="8"/>
        <v>18.037857142857145</v>
      </c>
    </row>
    <row r="14" spans="1:31">
      <c r="A14" s="78">
        <f t="shared" si="9"/>
        <v>8</v>
      </c>
      <c r="B14" s="78" t="s">
        <v>16</v>
      </c>
      <c r="C14" s="77" t="s">
        <v>19</v>
      </c>
      <c r="D14" s="77">
        <v>35</v>
      </c>
      <c r="E14" s="77" t="s">
        <v>21</v>
      </c>
      <c r="F14" s="34">
        <v>99</v>
      </c>
      <c r="G14" s="45">
        <f t="shared" si="0"/>
        <v>833.61999999999989</v>
      </c>
      <c r="H14" s="45">
        <v>516.91</v>
      </c>
      <c r="I14" s="45">
        <v>316.70999999999998</v>
      </c>
      <c r="J14" s="45">
        <f t="shared" si="1"/>
        <v>757.41</v>
      </c>
      <c r="K14" s="45">
        <v>418.59</v>
      </c>
      <c r="L14" s="45">
        <v>338.82</v>
      </c>
      <c r="M14" s="45">
        <f t="shared" si="2"/>
        <v>736.17</v>
      </c>
      <c r="N14" s="45">
        <v>496.89</v>
      </c>
      <c r="O14" s="45">
        <v>239.28</v>
      </c>
      <c r="P14" s="45">
        <f t="shared" si="3"/>
        <v>884.8599999999999</v>
      </c>
      <c r="Q14" s="45">
        <v>459.7</v>
      </c>
      <c r="R14" s="45">
        <f>252.56+172.6</f>
        <v>425.15999999999997</v>
      </c>
      <c r="S14" s="45">
        <f t="shared" si="4"/>
        <v>1015.1700000000001</v>
      </c>
      <c r="T14" s="45">
        <f>545.13</f>
        <v>545.13</v>
      </c>
      <c r="U14" s="45">
        <f>470.04</f>
        <v>470.04</v>
      </c>
      <c r="V14" s="5">
        <f t="shared" si="5"/>
        <v>1079.56</v>
      </c>
      <c r="W14" s="6">
        <v>580.70000000000005</v>
      </c>
      <c r="X14" s="6">
        <v>498.86</v>
      </c>
      <c r="Y14" s="5">
        <f t="shared" si="6"/>
        <v>1039.3</v>
      </c>
      <c r="Z14" s="6">
        <v>464.78</v>
      </c>
      <c r="AA14" s="6">
        <f>569.37+5.15</f>
        <v>574.52</v>
      </c>
      <c r="AB14" s="5">
        <f t="shared" si="7"/>
        <v>1130.6300000000001</v>
      </c>
      <c r="AC14" s="29">
        <v>461.06</v>
      </c>
      <c r="AD14" s="29">
        <v>669.57</v>
      </c>
      <c r="AE14" s="6">
        <f t="shared" si="8"/>
        <v>11.420505050505051</v>
      </c>
    </row>
    <row r="15" spans="1:31">
      <c r="A15" s="78">
        <f t="shared" si="9"/>
        <v>9</v>
      </c>
      <c r="B15" s="78" t="s">
        <v>16</v>
      </c>
      <c r="C15" s="77" t="s">
        <v>19</v>
      </c>
      <c r="D15" s="77">
        <v>33</v>
      </c>
      <c r="E15" s="77" t="s">
        <v>21</v>
      </c>
      <c r="F15" s="34">
        <v>79</v>
      </c>
      <c r="G15" s="45">
        <f t="shared" si="0"/>
        <v>657.57999999999993</v>
      </c>
      <c r="H15" s="45">
        <v>405.15</v>
      </c>
      <c r="I15" s="45">
        <v>252.43</v>
      </c>
      <c r="J15" s="45">
        <f t="shared" si="1"/>
        <v>644.77</v>
      </c>
      <c r="K15" s="45">
        <v>346.26</v>
      </c>
      <c r="L15" s="45">
        <v>298.51</v>
      </c>
      <c r="M15" s="45">
        <f t="shared" si="2"/>
        <v>633.91</v>
      </c>
      <c r="N15" s="45">
        <v>398.83</v>
      </c>
      <c r="O15" s="45">
        <v>235.08</v>
      </c>
      <c r="P15" s="45">
        <f t="shared" si="3"/>
        <v>796.07999999999993</v>
      </c>
      <c r="Q15" s="45">
        <f>394.75+193.07</f>
        <v>587.81999999999994</v>
      </c>
      <c r="R15" s="45">
        <f>208.26</f>
        <v>208.26</v>
      </c>
      <c r="S15" s="45">
        <f t="shared" si="4"/>
        <v>963.01</v>
      </c>
      <c r="T15" s="45">
        <f>531.33+43.98</f>
        <v>575.31000000000006</v>
      </c>
      <c r="U15" s="45">
        <f>387.7</f>
        <v>387.7</v>
      </c>
      <c r="V15" s="5">
        <f t="shared" si="5"/>
        <v>954.84</v>
      </c>
      <c r="W15" s="6">
        <v>521.08000000000004</v>
      </c>
      <c r="X15" s="6">
        <v>433.76</v>
      </c>
      <c r="Y15" s="5">
        <f t="shared" si="6"/>
        <v>956.86999999999989</v>
      </c>
      <c r="Z15" s="6">
        <v>410.44</v>
      </c>
      <c r="AA15" s="6">
        <v>546.42999999999995</v>
      </c>
      <c r="AB15" s="5">
        <f t="shared" si="7"/>
        <v>986.9</v>
      </c>
      <c r="AC15" s="29">
        <f>314.83+76.84</f>
        <v>391.66999999999996</v>
      </c>
      <c r="AD15" s="29">
        <v>595.23</v>
      </c>
      <c r="AE15" s="6">
        <f t="shared" si="8"/>
        <v>12.492405063291139</v>
      </c>
    </row>
    <row r="16" spans="1:31" s="27" customFormat="1">
      <c r="A16" s="25"/>
      <c r="B16" s="25" t="s">
        <v>8</v>
      </c>
      <c r="C16" s="67"/>
      <c r="D16" s="67"/>
      <c r="E16" s="67"/>
      <c r="F16" s="72">
        <f>SUM(F7:F15)</f>
        <v>1053</v>
      </c>
      <c r="G16" s="69">
        <f t="shared" ref="G16:W16" si="10">SUM(G7:G15)</f>
        <v>20922.910000000003</v>
      </c>
      <c r="H16" s="69">
        <f t="shared" si="10"/>
        <v>9413.369999999999</v>
      </c>
      <c r="I16" s="69">
        <f t="shared" si="10"/>
        <v>11509.54</v>
      </c>
      <c r="J16" s="69">
        <f t="shared" si="10"/>
        <v>19171.75</v>
      </c>
      <c r="K16" s="69">
        <f t="shared" si="10"/>
        <v>8620.14</v>
      </c>
      <c r="L16" s="69">
        <f t="shared" si="10"/>
        <v>10551.609999999999</v>
      </c>
      <c r="M16" s="69">
        <f t="shared" si="10"/>
        <v>18700.799999999996</v>
      </c>
      <c r="N16" s="69">
        <f t="shared" si="10"/>
        <v>9248.5299999999988</v>
      </c>
      <c r="O16" s="69">
        <f t="shared" si="10"/>
        <v>9452.27</v>
      </c>
      <c r="P16" s="69">
        <f t="shared" si="10"/>
        <v>18560.14</v>
      </c>
      <c r="Q16" s="69">
        <f t="shared" si="10"/>
        <v>9222.1299999999992</v>
      </c>
      <c r="R16" s="69">
        <f t="shared" si="10"/>
        <v>9338.010000000002</v>
      </c>
      <c r="S16" s="69">
        <f t="shared" si="10"/>
        <v>19935.719999999998</v>
      </c>
      <c r="T16" s="69">
        <f t="shared" si="10"/>
        <v>9028.4</v>
      </c>
      <c r="U16" s="69">
        <f t="shared" si="10"/>
        <v>10907.320000000002</v>
      </c>
      <c r="V16" s="69">
        <f>SUM(V7:V15)</f>
        <v>20161.88</v>
      </c>
      <c r="W16" s="69">
        <f t="shared" si="10"/>
        <v>9032.2199999999993</v>
      </c>
      <c r="X16" s="69">
        <f>SUM(X7:X15)</f>
        <v>11129.660000000002</v>
      </c>
      <c r="Y16" s="69">
        <f t="shared" ref="Y16:AD16" si="11">SUM(Y7:Y15)</f>
        <v>20494.169999999998</v>
      </c>
      <c r="Z16" s="69">
        <f t="shared" si="11"/>
        <v>8294.5</v>
      </c>
      <c r="AA16" s="69">
        <f t="shared" si="11"/>
        <v>12199.670000000002</v>
      </c>
      <c r="AB16" s="69">
        <f t="shared" si="11"/>
        <v>20234.140000000003</v>
      </c>
      <c r="AC16" s="69">
        <f t="shared" si="11"/>
        <v>8212.1200000000008</v>
      </c>
      <c r="AD16" s="69">
        <f t="shared" si="11"/>
        <v>12022.019999999999</v>
      </c>
      <c r="AE16" s="68"/>
    </row>
    <row r="17" spans="1:31">
      <c r="A17" s="254" t="s">
        <v>120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</row>
    <row r="18" spans="1:31" s="8" customFormat="1">
      <c r="A18" s="78">
        <v>1</v>
      </c>
      <c r="B18" s="7" t="s">
        <v>16</v>
      </c>
      <c r="C18" s="77" t="s">
        <v>24</v>
      </c>
      <c r="D18" s="77">
        <v>6</v>
      </c>
      <c r="E18" s="77"/>
      <c r="F18" s="34">
        <v>12</v>
      </c>
      <c r="G18" s="45">
        <f t="shared" ref="G18:G49" si="12">H18+I18</f>
        <v>173.52</v>
      </c>
      <c r="H18" s="45">
        <f>20.1+40.32</f>
        <v>60.42</v>
      </c>
      <c r="I18" s="45">
        <f>42.31+70.79</f>
        <v>113.10000000000001</v>
      </c>
      <c r="J18" s="45">
        <f t="shared" ref="J18:J49" si="13">K18+L18</f>
        <v>127.80000000000001</v>
      </c>
      <c r="K18" s="45">
        <f>20.1+23.89</f>
        <v>43.99</v>
      </c>
      <c r="L18" s="45">
        <f>41.8+42.01</f>
        <v>83.81</v>
      </c>
      <c r="M18" s="45">
        <f t="shared" ref="M18:M49" si="14">N18+O18</f>
        <v>127.80000000000001</v>
      </c>
      <c r="N18" s="45">
        <f>20.1+23.89</f>
        <v>43.99</v>
      </c>
      <c r="O18" s="45">
        <f>41.8+42.01</f>
        <v>83.81</v>
      </c>
      <c r="P18" s="45">
        <f t="shared" ref="P18:P49" si="15">Q18+R18</f>
        <v>127.80000000000001</v>
      </c>
      <c r="Q18" s="45">
        <f>20.1+23.89</f>
        <v>43.99</v>
      </c>
      <c r="R18" s="45">
        <f>41.8+42.01</f>
        <v>83.81</v>
      </c>
      <c r="S18" s="45">
        <f t="shared" ref="S18:S49" si="16">T18+U18</f>
        <v>127.80000000000001</v>
      </c>
      <c r="T18" s="45">
        <f>23.89+20.1</f>
        <v>43.99</v>
      </c>
      <c r="U18" s="45">
        <f>42.01+41.8</f>
        <v>83.81</v>
      </c>
      <c r="V18" s="6">
        <f t="shared" ref="V18:V49" si="17">W18+X18</f>
        <v>121.2</v>
      </c>
      <c r="W18" s="6">
        <v>37.39</v>
      </c>
      <c r="X18" s="6">
        <f>42.01+41.8</f>
        <v>83.81</v>
      </c>
      <c r="Y18" s="6">
        <f t="shared" ref="Y18:Y49" si="18">Z18+AA18</f>
        <v>121.2</v>
      </c>
      <c r="Z18" s="6">
        <v>37.39</v>
      </c>
      <c r="AA18" s="6">
        <v>83.81</v>
      </c>
      <c r="AB18" s="6">
        <f t="shared" ref="AB18:AB49" si="19">AC18+AD18</f>
        <v>107.4</v>
      </c>
      <c r="AC18" s="7">
        <f>23.89+13.9</f>
        <v>37.79</v>
      </c>
      <c r="AD18" s="7">
        <f>42.01+27.6</f>
        <v>69.61</v>
      </c>
      <c r="AE18" s="6">
        <f>AB18/F18</f>
        <v>8.9500000000000011</v>
      </c>
    </row>
    <row r="19" spans="1:31" s="8" customFormat="1">
      <c r="A19" s="78">
        <f t="shared" si="9"/>
        <v>2</v>
      </c>
      <c r="B19" s="7" t="s">
        <v>16</v>
      </c>
      <c r="C19" s="77" t="s">
        <v>25</v>
      </c>
      <c r="D19" s="77">
        <v>12</v>
      </c>
      <c r="E19" s="77"/>
      <c r="F19" s="34">
        <v>8</v>
      </c>
      <c r="G19" s="45">
        <f t="shared" si="12"/>
        <v>129.13</v>
      </c>
      <c r="H19" s="45">
        <f>115.1+11.88</f>
        <v>126.97999999999999</v>
      </c>
      <c r="I19" s="45">
        <f>1.9+0.25</f>
        <v>2.15</v>
      </c>
      <c r="J19" s="45">
        <f t="shared" si="13"/>
        <v>126.79</v>
      </c>
      <c r="K19" s="45">
        <f>114.4+10.24</f>
        <v>124.64</v>
      </c>
      <c r="L19" s="45">
        <f>1.9+0.25</f>
        <v>2.15</v>
      </c>
      <c r="M19" s="45">
        <f t="shared" si="14"/>
        <v>126.59</v>
      </c>
      <c r="N19" s="45">
        <f>114.4+10.24</f>
        <v>124.64</v>
      </c>
      <c r="O19" s="45">
        <f>1.7+0.25</f>
        <v>1.95</v>
      </c>
      <c r="P19" s="45">
        <f t="shared" si="15"/>
        <v>120.58999999999999</v>
      </c>
      <c r="Q19" s="45">
        <f>109.1+10.24</f>
        <v>119.33999999999999</v>
      </c>
      <c r="R19" s="45">
        <f>1+0.25</f>
        <v>1.25</v>
      </c>
      <c r="S19" s="45">
        <f t="shared" si="16"/>
        <v>119.78999999999999</v>
      </c>
      <c r="T19" s="45">
        <f>10.24+108.3</f>
        <v>118.53999999999999</v>
      </c>
      <c r="U19" s="45">
        <f>0.25+1</f>
        <v>1.25</v>
      </c>
      <c r="V19" s="6">
        <f t="shared" si="17"/>
        <v>114.28999999999999</v>
      </c>
      <c r="W19" s="6">
        <v>113.24</v>
      </c>
      <c r="X19" s="6">
        <v>1.05</v>
      </c>
      <c r="Y19" s="6">
        <f t="shared" si="18"/>
        <v>114.19</v>
      </c>
      <c r="Z19" s="6">
        <v>113.14</v>
      </c>
      <c r="AA19" s="6">
        <v>1.05</v>
      </c>
      <c r="AB19" s="6">
        <f t="shared" si="19"/>
        <v>114.08999999999999</v>
      </c>
      <c r="AC19" s="7">
        <f>10.24+102.8</f>
        <v>113.03999999999999</v>
      </c>
      <c r="AD19" s="7">
        <f>0.25+0.8</f>
        <v>1.05</v>
      </c>
      <c r="AE19" s="6">
        <f t="shared" ref="AE19:AE48" si="20">AB19/F19</f>
        <v>14.261249999999999</v>
      </c>
    </row>
    <row r="20" spans="1:31" s="8" customFormat="1">
      <c r="A20" s="78">
        <f t="shared" si="9"/>
        <v>3</v>
      </c>
      <c r="B20" s="7" t="s">
        <v>16</v>
      </c>
      <c r="C20" s="77" t="s">
        <v>25</v>
      </c>
      <c r="D20" s="77">
        <v>14</v>
      </c>
      <c r="E20" s="77"/>
      <c r="F20" s="34">
        <v>8</v>
      </c>
      <c r="G20" s="45">
        <f t="shared" si="12"/>
        <v>127.86</v>
      </c>
      <c r="H20" s="45">
        <f>70.7+55.66</f>
        <v>126.36</v>
      </c>
      <c r="I20" s="45">
        <f>0.7+0.8</f>
        <v>1.5</v>
      </c>
      <c r="J20" s="45">
        <f t="shared" si="13"/>
        <v>79.89</v>
      </c>
      <c r="K20" s="45">
        <f>51.3+27.64</f>
        <v>78.94</v>
      </c>
      <c r="L20" s="45">
        <f>0.7+0.25</f>
        <v>0.95</v>
      </c>
      <c r="M20" s="45">
        <f t="shared" si="14"/>
        <v>70.790000000000006</v>
      </c>
      <c r="N20" s="45">
        <f>42.2+27.64</f>
        <v>69.84</v>
      </c>
      <c r="O20" s="45">
        <f>0.7+0.25</f>
        <v>0.95</v>
      </c>
      <c r="P20" s="45">
        <f t="shared" si="15"/>
        <v>63.290000000000006</v>
      </c>
      <c r="Q20" s="45">
        <f>34.7+27.64</f>
        <v>62.34</v>
      </c>
      <c r="R20" s="45">
        <f>0.7+0.25</f>
        <v>0.95</v>
      </c>
      <c r="S20" s="45">
        <f t="shared" si="16"/>
        <v>51.39</v>
      </c>
      <c r="T20" s="45">
        <f>27.64+23.5</f>
        <v>51.14</v>
      </c>
      <c r="U20" s="45">
        <v>0.25</v>
      </c>
      <c r="V20" s="6">
        <f t="shared" si="17"/>
        <v>39.39</v>
      </c>
      <c r="W20" s="6">
        <v>39.14</v>
      </c>
      <c r="X20" s="6">
        <v>0.25</v>
      </c>
      <c r="Y20" s="6">
        <f t="shared" si="18"/>
        <v>39.39</v>
      </c>
      <c r="Z20" s="6">
        <v>39.14</v>
      </c>
      <c r="AA20" s="6">
        <v>0.25</v>
      </c>
      <c r="AB20" s="6">
        <f t="shared" si="19"/>
        <v>39.379999999999995</v>
      </c>
      <c r="AC20" s="7">
        <f>27.63+11.5</f>
        <v>39.129999999999995</v>
      </c>
      <c r="AD20" s="7">
        <f>0.25</f>
        <v>0.25</v>
      </c>
      <c r="AE20" s="6">
        <f t="shared" si="20"/>
        <v>4.9224999999999994</v>
      </c>
    </row>
    <row r="21" spans="1:31">
      <c r="A21" s="78">
        <f t="shared" si="9"/>
        <v>4</v>
      </c>
      <c r="B21" s="78" t="s">
        <v>16</v>
      </c>
      <c r="C21" s="77" t="s">
        <v>42</v>
      </c>
      <c r="D21" s="77">
        <v>20</v>
      </c>
      <c r="E21" s="77"/>
      <c r="F21" s="34">
        <v>72</v>
      </c>
      <c r="G21" s="45">
        <f t="shared" si="12"/>
        <v>770.17000000000007</v>
      </c>
      <c r="H21" s="45">
        <f>193.7+145.56</f>
        <v>339.26</v>
      </c>
      <c r="I21" s="45">
        <f>224.8+206.11</f>
        <v>430.91</v>
      </c>
      <c r="J21" s="45">
        <f t="shared" si="13"/>
        <v>553.58999999999992</v>
      </c>
      <c r="K21" s="45">
        <f>171.2+60.94</f>
        <v>232.14</v>
      </c>
      <c r="L21" s="45">
        <f>217.6+103.85</f>
        <v>321.45</v>
      </c>
      <c r="M21" s="45">
        <f t="shared" si="14"/>
        <v>553.57999999999993</v>
      </c>
      <c r="N21" s="45">
        <f>171.2+60.94</f>
        <v>232.14</v>
      </c>
      <c r="O21" s="45">
        <f>217.6+103.84</f>
        <v>321.44</v>
      </c>
      <c r="P21" s="45">
        <f t="shared" si="15"/>
        <v>555.20000000000005</v>
      </c>
      <c r="Q21" s="45">
        <f>171.2+60.94</f>
        <v>232.14</v>
      </c>
      <c r="R21" s="45">
        <f>217.6+105.46</f>
        <v>323.06</v>
      </c>
      <c r="S21" s="45">
        <f t="shared" si="16"/>
        <v>555.20000000000005</v>
      </c>
      <c r="T21" s="45">
        <f>60.94+171.2</f>
        <v>232.14</v>
      </c>
      <c r="U21" s="45">
        <f>105.46+217.6</f>
        <v>323.06</v>
      </c>
      <c r="V21" s="6">
        <f t="shared" si="17"/>
        <v>527.31999999999994</v>
      </c>
      <c r="W21" s="6">
        <v>221.05</v>
      </c>
      <c r="X21" s="6">
        <v>306.27</v>
      </c>
      <c r="Y21" s="6">
        <f t="shared" si="18"/>
        <v>527.31999999999994</v>
      </c>
      <c r="Z21" s="6">
        <v>221.05</v>
      </c>
      <c r="AA21" s="6">
        <v>306.27</v>
      </c>
      <c r="AB21" s="6">
        <f t="shared" si="19"/>
        <v>527.31999999999994</v>
      </c>
      <c r="AC21" s="78">
        <f>49.85+171.2</f>
        <v>221.04999999999998</v>
      </c>
      <c r="AD21" s="78">
        <f>88.67+217.6</f>
        <v>306.27</v>
      </c>
      <c r="AE21" s="6">
        <f t="shared" si="20"/>
        <v>7.323888888888888</v>
      </c>
    </row>
    <row r="22" spans="1:31" s="8" customFormat="1">
      <c r="A22" s="78">
        <f t="shared" si="9"/>
        <v>5</v>
      </c>
      <c r="B22" s="7" t="s">
        <v>16</v>
      </c>
      <c r="C22" s="77" t="s">
        <v>26</v>
      </c>
      <c r="D22" s="77">
        <v>3</v>
      </c>
      <c r="E22" s="77"/>
      <c r="F22" s="34">
        <v>8</v>
      </c>
      <c r="G22" s="45">
        <f t="shared" si="12"/>
        <v>36.47</v>
      </c>
      <c r="H22" s="45">
        <f>4.4+30.63</f>
        <v>35.03</v>
      </c>
      <c r="I22" s="45">
        <f>0.7+0.74</f>
        <v>1.44</v>
      </c>
      <c r="J22" s="45">
        <f t="shared" si="13"/>
        <v>17.739999999999998</v>
      </c>
      <c r="K22" s="45">
        <f>4.4+12.32</f>
        <v>16.72</v>
      </c>
      <c r="L22" s="45">
        <f>0.7+0.32</f>
        <v>1.02</v>
      </c>
      <c r="M22" s="45">
        <f t="shared" si="14"/>
        <v>17.739999999999998</v>
      </c>
      <c r="N22" s="45">
        <f>4.4+12.32</f>
        <v>16.72</v>
      </c>
      <c r="O22" s="45">
        <f>0.7+0.32</f>
        <v>1.02</v>
      </c>
      <c r="P22" s="45">
        <f t="shared" si="15"/>
        <v>17.739999999999998</v>
      </c>
      <c r="Q22" s="45">
        <f>4.4+12.32</f>
        <v>16.72</v>
      </c>
      <c r="R22" s="45">
        <f>0.7+0.32</f>
        <v>1.02</v>
      </c>
      <c r="S22" s="45">
        <f t="shared" si="16"/>
        <v>17.739999999999998</v>
      </c>
      <c r="T22" s="45">
        <f>12.32+4.4</f>
        <v>16.72</v>
      </c>
      <c r="U22" s="45">
        <f>0.32+0.7</f>
        <v>1.02</v>
      </c>
      <c r="V22" s="6">
        <f t="shared" si="17"/>
        <v>17.739999999999998</v>
      </c>
      <c r="W22" s="6">
        <f>12.32+4.4</f>
        <v>16.72</v>
      </c>
      <c r="X22" s="6">
        <f>0.32+0.7</f>
        <v>1.02</v>
      </c>
      <c r="Y22" s="6">
        <f t="shared" si="18"/>
        <v>17.739999999999998</v>
      </c>
      <c r="Z22" s="6">
        <v>16.72</v>
      </c>
      <c r="AA22" s="6">
        <v>1.02</v>
      </c>
      <c r="AB22" s="6">
        <f t="shared" si="19"/>
        <v>17.739999999999998</v>
      </c>
      <c r="AC22" s="7">
        <f>12.32+4.4</f>
        <v>16.72</v>
      </c>
      <c r="AD22" s="7">
        <f>0.32+0.7</f>
        <v>1.02</v>
      </c>
      <c r="AE22" s="6">
        <f t="shared" si="20"/>
        <v>2.2174999999999998</v>
      </c>
    </row>
    <row r="23" spans="1:31">
      <c r="A23" s="78">
        <f t="shared" si="9"/>
        <v>6</v>
      </c>
      <c r="B23" s="78" t="s">
        <v>16</v>
      </c>
      <c r="C23" s="77" t="s">
        <v>27</v>
      </c>
      <c r="D23" s="77">
        <v>20</v>
      </c>
      <c r="E23" s="77"/>
      <c r="F23" s="34">
        <v>24</v>
      </c>
      <c r="G23" s="45">
        <f t="shared" si="12"/>
        <v>174.9</v>
      </c>
      <c r="H23" s="45">
        <v>61</v>
      </c>
      <c r="I23" s="45">
        <v>113.9</v>
      </c>
      <c r="J23" s="45">
        <f t="shared" si="13"/>
        <v>199.9</v>
      </c>
      <c r="K23" s="45">
        <v>61</v>
      </c>
      <c r="L23" s="45">
        <v>138.9</v>
      </c>
      <c r="M23" s="45">
        <f t="shared" si="14"/>
        <v>174.9</v>
      </c>
      <c r="N23" s="45">
        <v>61</v>
      </c>
      <c r="O23" s="45">
        <v>113.9</v>
      </c>
      <c r="P23" s="45">
        <f t="shared" si="15"/>
        <v>174.9</v>
      </c>
      <c r="Q23" s="45">
        <v>61</v>
      </c>
      <c r="R23" s="45">
        <f>113.9</f>
        <v>113.9</v>
      </c>
      <c r="S23" s="45">
        <f t="shared" si="16"/>
        <v>174.9</v>
      </c>
      <c r="T23" s="45">
        <v>61</v>
      </c>
      <c r="U23" s="45">
        <v>113.9</v>
      </c>
      <c r="V23" s="6">
        <f t="shared" si="17"/>
        <v>170.3</v>
      </c>
      <c r="W23" s="6">
        <v>56.4</v>
      </c>
      <c r="X23" s="6">
        <v>113.9</v>
      </c>
      <c r="Y23" s="6">
        <f t="shared" si="18"/>
        <v>148.69999999999999</v>
      </c>
      <c r="Z23" s="6">
        <v>56.4</v>
      </c>
      <c r="AA23" s="6">
        <v>92.3</v>
      </c>
      <c r="AB23" s="6">
        <f t="shared" si="19"/>
        <v>170.3</v>
      </c>
      <c r="AC23" s="78">
        <v>56.4</v>
      </c>
      <c r="AD23" s="78">
        <v>113.9</v>
      </c>
      <c r="AE23" s="6">
        <f t="shared" si="20"/>
        <v>7.0958333333333341</v>
      </c>
    </row>
    <row r="24" spans="1:31" s="8" customFormat="1">
      <c r="A24" s="78">
        <f t="shared" si="9"/>
        <v>7</v>
      </c>
      <c r="B24" s="7" t="s">
        <v>16</v>
      </c>
      <c r="C24" s="77" t="s">
        <v>28</v>
      </c>
      <c r="D24" s="77">
        <v>4</v>
      </c>
      <c r="E24" s="77"/>
      <c r="F24" s="34">
        <v>12</v>
      </c>
      <c r="G24" s="45">
        <f t="shared" si="12"/>
        <v>55.24</v>
      </c>
      <c r="H24" s="45">
        <f>31.03+24.21</f>
        <v>55.24</v>
      </c>
      <c r="I24" s="45">
        <v>0</v>
      </c>
      <c r="J24" s="45">
        <f t="shared" si="13"/>
        <v>39.25</v>
      </c>
      <c r="K24" s="45">
        <f>29.4+9.85</f>
        <v>39.25</v>
      </c>
      <c r="L24" s="45">
        <v>0</v>
      </c>
      <c r="M24" s="45">
        <f t="shared" si="14"/>
        <v>39.25</v>
      </c>
      <c r="N24" s="45">
        <f>29.4+9.85</f>
        <v>39.25</v>
      </c>
      <c r="O24" s="45">
        <v>0</v>
      </c>
      <c r="P24" s="45">
        <f t="shared" si="15"/>
        <v>39.25</v>
      </c>
      <c r="Q24" s="45">
        <f>29.4+9.85</f>
        <v>39.25</v>
      </c>
      <c r="R24" s="45">
        <v>0</v>
      </c>
      <c r="S24" s="45">
        <f t="shared" si="16"/>
        <v>39.25</v>
      </c>
      <c r="T24" s="45">
        <f>9.85+29.4</f>
        <v>39.25</v>
      </c>
      <c r="U24" s="45"/>
      <c r="V24" s="6">
        <f t="shared" si="17"/>
        <v>39.25</v>
      </c>
      <c r="W24" s="6">
        <f>9.85+29.4</f>
        <v>39.25</v>
      </c>
      <c r="X24" s="6"/>
      <c r="Y24" s="6">
        <f t="shared" si="18"/>
        <v>39.25</v>
      </c>
      <c r="Z24" s="6">
        <v>39.25</v>
      </c>
      <c r="AA24" s="6">
        <v>0</v>
      </c>
      <c r="AB24" s="6">
        <f t="shared" si="19"/>
        <v>35.15</v>
      </c>
      <c r="AC24" s="7">
        <f>6.15+29</f>
        <v>35.15</v>
      </c>
      <c r="AD24" s="7">
        <v>0</v>
      </c>
      <c r="AE24" s="6">
        <f t="shared" si="20"/>
        <v>2.9291666666666667</v>
      </c>
    </row>
    <row r="25" spans="1:31" s="8" customFormat="1">
      <c r="A25" s="78">
        <f t="shared" si="9"/>
        <v>8</v>
      </c>
      <c r="B25" s="7" t="s">
        <v>16</v>
      </c>
      <c r="C25" s="77" t="s">
        <v>29</v>
      </c>
      <c r="D25" s="77">
        <v>32</v>
      </c>
      <c r="E25" s="77"/>
      <c r="F25" s="34">
        <v>22</v>
      </c>
      <c r="G25" s="45">
        <f t="shared" si="12"/>
        <v>288.76</v>
      </c>
      <c r="H25" s="45">
        <f>86.02+35.17+50</f>
        <v>171.19</v>
      </c>
      <c r="I25" s="45">
        <f>119.2+48.37-50</f>
        <v>117.57</v>
      </c>
      <c r="J25" s="45">
        <f t="shared" si="13"/>
        <v>244.94</v>
      </c>
      <c r="K25" s="45">
        <f>78.1+35.17</f>
        <v>113.27</v>
      </c>
      <c r="L25" s="45">
        <f>83.3+48.37</f>
        <v>131.66999999999999</v>
      </c>
      <c r="M25" s="45">
        <f t="shared" si="14"/>
        <v>269.94</v>
      </c>
      <c r="N25" s="45">
        <f>78.1+35.17</f>
        <v>113.27</v>
      </c>
      <c r="O25" s="45">
        <f>108.3+48.37</f>
        <v>156.66999999999999</v>
      </c>
      <c r="P25" s="45">
        <f t="shared" si="15"/>
        <v>269.94</v>
      </c>
      <c r="Q25" s="45">
        <f>78.1+35.17</f>
        <v>113.27</v>
      </c>
      <c r="R25" s="45">
        <f>108.3+48.37</f>
        <v>156.66999999999999</v>
      </c>
      <c r="S25" s="45">
        <f t="shared" si="16"/>
        <v>249.54000000000002</v>
      </c>
      <c r="T25" s="45">
        <f>35.17+78.1</f>
        <v>113.27</v>
      </c>
      <c r="U25" s="45">
        <f>48.37+87.9</f>
        <v>136.27000000000001</v>
      </c>
      <c r="V25" s="6">
        <f t="shared" si="17"/>
        <v>249.54000000000002</v>
      </c>
      <c r="W25" s="6">
        <f>35.17+78.1</f>
        <v>113.27</v>
      </c>
      <c r="X25" s="6">
        <f>48.37+87.9</f>
        <v>136.27000000000001</v>
      </c>
      <c r="Y25" s="6">
        <f t="shared" si="18"/>
        <v>269.94</v>
      </c>
      <c r="Z25" s="6">
        <v>113.27</v>
      </c>
      <c r="AA25" s="6">
        <v>156.66999999999999</v>
      </c>
      <c r="AB25" s="6">
        <f t="shared" si="19"/>
        <v>269.94</v>
      </c>
      <c r="AC25" s="7">
        <f>35.17+78.1</f>
        <v>113.27</v>
      </c>
      <c r="AD25" s="7">
        <f>48.37+108.3</f>
        <v>156.66999999999999</v>
      </c>
      <c r="AE25" s="6">
        <f t="shared" si="20"/>
        <v>12.27</v>
      </c>
    </row>
    <row r="26" spans="1:31" s="8" customFormat="1">
      <c r="A26" s="78">
        <f t="shared" si="9"/>
        <v>9</v>
      </c>
      <c r="B26" s="7" t="s">
        <v>16</v>
      </c>
      <c r="C26" s="77" t="s">
        <v>30</v>
      </c>
      <c r="D26" s="77">
        <v>1</v>
      </c>
      <c r="E26" s="77"/>
      <c r="F26" s="34">
        <v>12</v>
      </c>
      <c r="G26" s="45">
        <f t="shared" si="12"/>
        <v>199.72000000000003</v>
      </c>
      <c r="H26" s="45">
        <f>110.5+41.99</f>
        <v>152.49</v>
      </c>
      <c r="I26" s="45">
        <f>32.5+14.73</f>
        <v>47.230000000000004</v>
      </c>
      <c r="J26" s="45">
        <f t="shared" si="13"/>
        <v>166.69</v>
      </c>
      <c r="K26" s="45">
        <f>110.5+16.47</f>
        <v>126.97</v>
      </c>
      <c r="L26" s="45">
        <f>32.5+7.22</f>
        <v>39.72</v>
      </c>
      <c r="M26" s="45">
        <f t="shared" si="14"/>
        <v>166.69</v>
      </c>
      <c r="N26" s="45">
        <f>110.5+16.47</f>
        <v>126.97</v>
      </c>
      <c r="O26" s="45">
        <f>32.5+7.22</f>
        <v>39.72</v>
      </c>
      <c r="P26" s="45">
        <f t="shared" si="15"/>
        <v>166.69</v>
      </c>
      <c r="Q26" s="45">
        <f>110.5+16.47</f>
        <v>126.97</v>
      </c>
      <c r="R26" s="45">
        <f>32.5+7.22</f>
        <v>39.72</v>
      </c>
      <c r="S26" s="45">
        <f t="shared" si="16"/>
        <v>166.69</v>
      </c>
      <c r="T26" s="45">
        <f>16.47+110.5</f>
        <v>126.97</v>
      </c>
      <c r="U26" s="45">
        <f>7.22+32.5</f>
        <v>39.72</v>
      </c>
      <c r="V26" s="6">
        <f t="shared" si="17"/>
        <v>166.69</v>
      </c>
      <c r="W26" s="6">
        <f>16.47+110.5</f>
        <v>126.97</v>
      </c>
      <c r="X26" s="6">
        <f>7.22+32.5</f>
        <v>39.72</v>
      </c>
      <c r="Y26" s="6">
        <f t="shared" si="18"/>
        <v>163.07999999999998</v>
      </c>
      <c r="Z26" s="6">
        <v>124.08</v>
      </c>
      <c r="AA26" s="6">
        <v>39</v>
      </c>
      <c r="AB26" s="6">
        <f t="shared" si="19"/>
        <v>221.62</v>
      </c>
      <c r="AC26" s="7">
        <f>13.58+110.5</f>
        <v>124.08</v>
      </c>
      <c r="AD26" s="7">
        <f>65.04+32.5</f>
        <v>97.54</v>
      </c>
      <c r="AE26" s="6">
        <f t="shared" si="20"/>
        <v>18.468333333333334</v>
      </c>
    </row>
    <row r="27" spans="1:31" s="8" customFormat="1">
      <c r="A27" s="78">
        <f t="shared" si="9"/>
        <v>10</v>
      </c>
      <c r="B27" s="7" t="s">
        <v>16</v>
      </c>
      <c r="C27" s="77" t="s">
        <v>30</v>
      </c>
      <c r="D27" s="77">
        <v>3</v>
      </c>
      <c r="E27" s="77"/>
      <c r="F27" s="34">
        <v>12</v>
      </c>
      <c r="G27" s="45">
        <f t="shared" si="12"/>
        <v>82.09</v>
      </c>
      <c r="H27" s="45">
        <f>23.4+31.25</f>
        <v>54.65</v>
      </c>
      <c r="I27" s="45">
        <f>13.1+14.34</f>
        <v>27.439999999999998</v>
      </c>
      <c r="J27" s="45">
        <f t="shared" si="13"/>
        <v>33.229999999999997</v>
      </c>
      <c r="K27" s="45">
        <f>15.5+3.06</f>
        <v>18.559999999999999</v>
      </c>
      <c r="L27" s="45">
        <f>13.1+1.57</f>
        <v>14.67</v>
      </c>
      <c r="M27" s="45">
        <f t="shared" si="14"/>
        <v>33.229999999999997</v>
      </c>
      <c r="N27" s="45">
        <f>15.5+3.06</f>
        <v>18.559999999999999</v>
      </c>
      <c r="O27" s="45">
        <f>13.1+1.57</f>
        <v>14.67</v>
      </c>
      <c r="P27" s="45">
        <f t="shared" si="15"/>
        <v>33.229999999999997</v>
      </c>
      <c r="Q27" s="45">
        <f>15.5+3.06</f>
        <v>18.559999999999999</v>
      </c>
      <c r="R27" s="45">
        <f>13.1+1.57</f>
        <v>14.67</v>
      </c>
      <c r="S27" s="45">
        <f t="shared" si="16"/>
        <v>33.229999999999997</v>
      </c>
      <c r="T27" s="45">
        <f>3.06+15.5</f>
        <v>18.559999999999999</v>
      </c>
      <c r="U27" s="45">
        <f>1.57+13.1</f>
        <v>14.67</v>
      </c>
      <c r="V27" s="6">
        <f t="shared" si="17"/>
        <v>33.229999999999997</v>
      </c>
      <c r="W27" s="6">
        <f>3.06+15.5</f>
        <v>18.559999999999999</v>
      </c>
      <c r="X27" s="6">
        <f>1.57+13.1</f>
        <v>14.67</v>
      </c>
      <c r="Y27" s="6">
        <f t="shared" si="18"/>
        <v>33.22</v>
      </c>
      <c r="Z27" s="6">
        <v>18.55</v>
      </c>
      <c r="AA27" s="6">
        <v>14.67</v>
      </c>
      <c r="AB27" s="6">
        <f t="shared" si="19"/>
        <v>33.21</v>
      </c>
      <c r="AC27" s="7">
        <f>3.05+15.5</f>
        <v>18.55</v>
      </c>
      <c r="AD27" s="7">
        <f>1.56+13.1</f>
        <v>14.66</v>
      </c>
      <c r="AE27" s="6">
        <f t="shared" si="20"/>
        <v>2.7675000000000001</v>
      </c>
    </row>
    <row r="28" spans="1:31" s="8" customFormat="1">
      <c r="A28" s="78">
        <f t="shared" si="9"/>
        <v>11</v>
      </c>
      <c r="B28" s="7" t="s">
        <v>16</v>
      </c>
      <c r="C28" s="77" t="s">
        <v>30</v>
      </c>
      <c r="D28" s="77">
        <v>3</v>
      </c>
      <c r="E28" s="77" t="s">
        <v>21</v>
      </c>
      <c r="F28" s="34">
        <v>12</v>
      </c>
      <c r="G28" s="45">
        <f t="shared" si="12"/>
        <v>69.72999999999999</v>
      </c>
      <c r="H28" s="45">
        <f>8+29.38</f>
        <v>37.379999999999995</v>
      </c>
      <c r="I28" s="45">
        <f>16.3+16.05</f>
        <v>32.35</v>
      </c>
      <c r="J28" s="45">
        <f t="shared" si="13"/>
        <v>22.380000000000003</v>
      </c>
      <c r="K28" s="45">
        <f>1.8+10.98</f>
        <v>12.780000000000001</v>
      </c>
      <c r="L28" s="45">
        <f>0.6+9</f>
        <v>9.6</v>
      </c>
      <c r="M28" s="45">
        <f t="shared" si="14"/>
        <v>22.380000000000003</v>
      </c>
      <c r="N28" s="45">
        <f>1.8+10.98</f>
        <v>12.780000000000001</v>
      </c>
      <c r="O28" s="45">
        <f>0.6+9</f>
        <v>9.6</v>
      </c>
      <c r="P28" s="45">
        <f t="shared" si="15"/>
        <v>22.380000000000003</v>
      </c>
      <c r="Q28" s="45">
        <f>1.8+10.98</f>
        <v>12.780000000000001</v>
      </c>
      <c r="R28" s="45">
        <f>0.6+9</f>
        <v>9.6</v>
      </c>
      <c r="S28" s="45">
        <f t="shared" si="16"/>
        <v>22.380000000000003</v>
      </c>
      <c r="T28" s="45">
        <f>10.98+1.8</f>
        <v>12.780000000000001</v>
      </c>
      <c r="U28" s="45">
        <f>9+0.6</f>
        <v>9.6</v>
      </c>
      <c r="V28" s="6">
        <f t="shared" si="17"/>
        <v>15.7</v>
      </c>
      <c r="W28" s="6">
        <v>9.98</v>
      </c>
      <c r="X28" s="6">
        <v>5.72</v>
      </c>
      <c r="Y28" s="6">
        <f t="shared" si="18"/>
        <v>15.7</v>
      </c>
      <c r="Z28" s="6">
        <v>9.98</v>
      </c>
      <c r="AA28" s="6">
        <v>5.72</v>
      </c>
      <c r="AB28" s="6">
        <f t="shared" si="19"/>
        <v>15.7</v>
      </c>
      <c r="AC28" s="7">
        <f>8.18+1.8</f>
        <v>9.98</v>
      </c>
      <c r="AD28" s="7">
        <f>5.12+0.6</f>
        <v>5.72</v>
      </c>
      <c r="AE28" s="6">
        <f t="shared" si="20"/>
        <v>1.3083333333333333</v>
      </c>
    </row>
    <row r="29" spans="1:31">
      <c r="A29" s="78">
        <f t="shared" si="9"/>
        <v>12</v>
      </c>
      <c r="B29" s="78" t="s">
        <v>16</v>
      </c>
      <c r="C29" s="77" t="s">
        <v>30</v>
      </c>
      <c r="D29" s="77">
        <v>6</v>
      </c>
      <c r="E29" s="77"/>
      <c r="F29" s="34">
        <v>4</v>
      </c>
      <c r="G29" s="45">
        <f t="shared" si="12"/>
        <v>54.42</v>
      </c>
      <c r="H29" s="45">
        <f>40.6+13.37</f>
        <v>53.97</v>
      </c>
      <c r="I29" s="45">
        <f>0.3+0.15</f>
        <v>0.44999999999999996</v>
      </c>
      <c r="J29" s="45">
        <f t="shared" si="13"/>
        <v>51.76</v>
      </c>
      <c r="K29" s="45">
        <f>40.6+10.72</f>
        <v>51.32</v>
      </c>
      <c r="L29" s="45">
        <f>0.3+0.14</f>
        <v>0.44</v>
      </c>
      <c r="M29" s="45">
        <f t="shared" si="14"/>
        <v>11.16</v>
      </c>
      <c r="N29" s="45">
        <v>10.72</v>
      </c>
      <c r="O29" s="45">
        <f>0.3+0.14</f>
        <v>0.44</v>
      </c>
      <c r="P29" s="45">
        <f t="shared" si="15"/>
        <v>11.16</v>
      </c>
      <c r="Q29" s="45">
        <v>10.72</v>
      </c>
      <c r="R29" s="45">
        <v>0.44</v>
      </c>
      <c r="S29" s="45">
        <f t="shared" si="16"/>
        <v>11.16</v>
      </c>
      <c r="T29" s="45">
        <f>10.72</f>
        <v>10.72</v>
      </c>
      <c r="U29" s="45">
        <f>0.14+0.3</f>
        <v>0.44</v>
      </c>
      <c r="V29" s="6">
        <f t="shared" si="17"/>
        <v>11.16</v>
      </c>
      <c r="W29" s="6">
        <f>10.72</f>
        <v>10.72</v>
      </c>
      <c r="X29" s="6">
        <f>0.14+0.3</f>
        <v>0.44</v>
      </c>
      <c r="Y29" s="6">
        <f t="shared" si="18"/>
        <v>11.16</v>
      </c>
      <c r="Z29" s="6">
        <v>10.72</v>
      </c>
      <c r="AA29" s="6">
        <v>0.44</v>
      </c>
      <c r="AB29" s="6">
        <f t="shared" si="19"/>
        <v>11.16</v>
      </c>
      <c r="AC29" s="78">
        <f>10.72</f>
        <v>10.72</v>
      </c>
      <c r="AD29" s="78">
        <f>0.14+0.3</f>
        <v>0.44</v>
      </c>
      <c r="AE29" s="6">
        <f t="shared" si="20"/>
        <v>2.79</v>
      </c>
    </row>
    <row r="30" spans="1:31" s="8" customFormat="1" ht="28.5" customHeight="1">
      <c r="A30" s="78">
        <f t="shared" si="9"/>
        <v>13</v>
      </c>
      <c r="B30" s="7" t="s">
        <v>16</v>
      </c>
      <c r="C30" s="77" t="s">
        <v>31</v>
      </c>
      <c r="D30" s="77">
        <v>5</v>
      </c>
      <c r="E30" s="77"/>
      <c r="F30" s="34">
        <v>15</v>
      </c>
      <c r="G30" s="45">
        <f t="shared" si="12"/>
        <v>76.150000000000006</v>
      </c>
      <c r="H30" s="45">
        <v>17.399999999999999</v>
      </c>
      <c r="I30" s="45">
        <f>18.9+39.85</f>
        <v>58.75</v>
      </c>
      <c r="J30" s="45">
        <f t="shared" si="13"/>
        <v>47.42</v>
      </c>
      <c r="K30" s="45">
        <v>13.52</v>
      </c>
      <c r="L30" s="45">
        <f>14.8+19.1</f>
        <v>33.900000000000006</v>
      </c>
      <c r="M30" s="45">
        <f t="shared" si="14"/>
        <v>47.42</v>
      </c>
      <c r="N30" s="45">
        <v>13.52</v>
      </c>
      <c r="O30" s="45">
        <f>14.8+19.1</f>
        <v>33.900000000000006</v>
      </c>
      <c r="P30" s="45">
        <f t="shared" si="15"/>
        <v>47.42</v>
      </c>
      <c r="Q30" s="45">
        <v>13.52</v>
      </c>
      <c r="R30" s="45">
        <f>14.8+19.1</f>
        <v>33.900000000000006</v>
      </c>
      <c r="S30" s="45">
        <f t="shared" si="16"/>
        <v>47.42</v>
      </c>
      <c r="T30" s="45">
        <f>13.52</f>
        <v>13.52</v>
      </c>
      <c r="U30" s="45">
        <f>19.1+14.8</f>
        <v>33.900000000000006</v>
      </c>
      <c r="V30" s="6">
        <f t="shared" si="17"/>
        <v>46.02</v>
      </c>
      <c r="W30" s="6">
        <v>12.12</v>
      </c>
      <c r="X30" s="6">
        <f>19.1+14.8</f>
        <v>33.900000000000006</v>
      </c>
      <c r="Y30" s="6">
        <f t="shared" si="18"/>
        <v>46.01</v>
      </c>
      <c r="Z30" s="6">
        <v>12.12</v>
      </c>
      <c r="AA30" s="6">
        <v>33.89</v>
      </c>
      <c r="AB30" s="6">
        <f t="shared" si="19"/>
        <v>46.01</v>
      </c>
      <c r="AC30" s="7">
        <f>12.12</f>
        <v>12.12</v>
      </c>
      <c r="AD30" s="7">
        <f>19.09+14.8</f>
        <v>33.89</v>
      </c>
      <c r="AE30" s="6">
        <f t="shared" si="20"/>
        <v>3.067333333333333</v>
      </c>
    </row>
    <row r="31" spans="1:31" s="10" customFormat="1" ht="35.25" customHeight="1">
      <c r="A31" s="78">
        <f t="shared" si="9"/>
        <v>14</v>
      </c>
      <c r="B31" s="9" t="s">
        <v>16</v>
      </c>
      <c r="C31" s="46" t="s">
        <v>31</v>
      </c>
      <c r="D31" s="46">
        <v>66</v>
      </c>
      <c r="E31" s="46" t="s">
        <v>20</v>
      </c>
      <c r="F31" s="47">
        <v>2</v>
      </c>
      <c r="G31" s="48">
        <f t="shared" si="12"/>
        <v>71.05</v>
      </c>
      <c r="H31" s="48">
        <f>49.9+20.4</f>
        <v>70.3</v>
      </c>
      <c r="I31" s="48">
        <f>0.6+0.15</f>
        <v>0.75</v>
      </c>
      <c r="J31" s="48">
        <f t="shared" si="13"/>
        <v>71.09</v>
      </c>
      <c r="K31" s="48">
        <f>49.9+20.4</f>
        <v>70.3</v>
      </c>
      <c r="L31" s="48">
        <f>0.6+0.19</f>
        <v>0.79</v>
      </c>
      <c r="M31" s="48">
        <f t="shared" si="14"/>
        <v>71.09</v>
      </c>
      <c r="N31" s="48">
        <f>49.9+20.4</f>
        <v>70.3</v>
      </c>
      <c r="O31" s="48">
        <f>0.6+0.19</f>
        <v>0.79</v>
      </c>
      <c r="P31" s="48">
        <f t="shared" si="15"/>
        <v>71.09</v>
      </c>
      <c r="Q31" s="48">
        <f>49.9+20.4</f>
        <v>70.3</v>
      </c>
      <c r="R31" s="48">
        <f>0.6+0.19</f>
        <v>0.79</v>
      </c>
      <c r="S31" s="48">
        <f t="shared" si="16"/>
        <v>71.09</v>
      </c>
      <c r="T31" s="48">
        <f>20.4+50.1</f>
        <v>70.5</v>
      </c>
      <c r="U31" s="48">
        <f>0.19+0.4</f>
        <v>0.59000000000000008</v>
      </c>
      <c r="V31" s="66">
        <f t="shared" si="17"/>
        <v>71.09</v>
      </c>
      <c r="W31" s="66">
        <f>20.4+50.1</f>
        <v>70.5</v>
      </c>
      <c r="X31" s="66">
        <f>0.19+0.4</f>
        <v>0.59000000000000008</v>
      </c>
      <c r="Y31" s="66">
        <f t="shared" si="18"/>
        <v>71.09</v>
      </c>
      <c r="Z31" s="66">
        <v>70.5</v>
      </c>
      <c r="AA31" s="66">
        <v>0.59</v>
      </c>
      <c r="AB31" s="66">
        <f t="shared" si="19"/>
        <v>71.08</v>
      </c>
      <c r="AC31" s="9">
        <f>20.4+50.1</f>
        <v>70.5</v>
      </c>
      <c r="AD31" s="9">
        <f>0.18+0.4</f>
        <v>0.58000000000000007</v>
      </c>
      <c r="AE31" s="6">
        <f>AB31/F31</f>
        <v>35.54</v>
      </c>
    </row>
    <row r="32" spans="1:31">
      <c r="A32" s="78">
        <f t="shared" si="9"/>
        <v>15</v>
      </c>
      <c r="B32" s="78" t="s">
        <v>16</v>
      </c>
      <c r="C32" s="77" t="s">
        <v>32</v>
      </c>
      <c r="D32" s="77">
        <v>9</v>
      </c>
      <c r="E32" s="77"/>
      <c r="F32" s="34">
        <v>52</v>
      </c>
      <c r="G32" s="45">
        <f t="shared" si="12"/>
        <v>801.30000000000007</v>
      </c>
      <c r="H32" s="45">
        <f>198.1+200</f>
        <v>398.1</v>
      </c>
      <c r="I32" s="45">
        <f>603.2-200</f>
        <v>403.20000000000005</v>
      </c>
      <c r="J32" s="45">
        <f t="shared" si="13"/>
        <v>778.3</v>
      </c>
      <c r="K32" s="45">
        <v>194.4</v>
      </c>
      <c r="L32" s="45">
        <v>583.9</v>
      </c>
      <c r="M32" s="45">
        <f t="shared" si="14"/>
        <v>733.9</v>
      </c>
      <c r="N32" s="45">
        <v>187.9</v>
      </c>
      <c r="O32" s="45">
        <v>546</v>
      </c>
      <c r="P32" s="45">
        <f t="shared" si="15"/>
        <v>708.90000000000009</v>
      </c>
      <c r="Q32" s="45">
        <f>187.8</f>
        <v>187.8</v>
      </c>
      <c r="R32" s="45">
        <f>521.1</f>
        <v>521.1</v>
      </c>
      <c r="S32" s="45">
        <f t="shared" si="16"/>
        <v>709.59999999999991</v>
      </c>
      <c r="T32" s="45">
        <v>194.3</v>
      </c>
      <c r="U32" s="45">
        <v>515.29999999999995</v>
      </c>
      <c r="V32" s="6">
        <f t="shared" si="17"/>
        <v>709.3</v>
      </c>
      <c r="W32" s="6">
        <v>194.3</v>
      </c>
      <c r="X32" s="6">
        <v>515</v>
      </c>
      <c r="Y32" s="6">
        <f t="shared" si="18"/>
        <v>704.9</v>
      </c>
      <c r="Z32" s="6">
        <v>189.9</v>
      </c>
      <c r="AA32" s="6">
        <v>515</v>
      </c>
      <c r="AB32" s="6">
        <f t="shared" si="19"/>
        <v>704.9</v>
      </c>
      <c r="AC32" s="78">
        <v>189.9</v>
      </c>
      <c r="AD32" s="78">
        <v>515</v>
      </c>
      <c r="AE32" s="6">
        <f t="shared" si="20"/>
        <v>13.555769230769231</v>
      </c>
    </row>
    <row r="33" spans="1:31">
      <c r="A33" s="78">
        <f t="shared" si="9"/>
        <v>16</v>
      </c>
      <c r="B33" s="78" t="s">
        <v>16</v>
      </c>
      <c r="C33" s="77" t="s">
        <v>33</v>
      </c>
      <c r="D33" s="77">
        <v>25</v>
      </c>
      <c r="E33" s="77"/>
      <c r="F33" s="34">
        <v>8</v>
      </c>
      <c r="G33" s="45">
        <f t="shared" si="12"/>
        <v>43.8</v>
      </c>
      <c r="H33" s="45">
        <v>43.8</v>
      </c>
      <c r="I33" s="45">
        <v>0</v>
      </c>
      <c r="J33" s="45">
        <f t="shared" si="13"/>
        <v>23.8</v>
      </c>
      <c r="K33" s="45">
        <v>23.8</v>
      </c>
      <c r="L33" s="45">
        <v>0</v>
      </c>
      <c r="M33" s="45">
        <f t="shared" si="14"/>
        <v>23.8</v>
      </c>
      <c r="N33" s="45">
        <v>23.8</v>
      </c>
      <c r="O33" s="45">
        <v>0</v>
      </c>
      <c r="P33" s="45">
        <f t="shared" si="15"/>
        <v>23.8</v>
      </c>
      <c r="Q33" s="45">
        <f>23.8</f>
        <v>23.8</v>
      </c>
      <c r="R33" s="45">
        <v>0</v>
      </c>
      <c r="S33" s="45">
        <f t="shared" si="16"/>
        <v>18.8</v>
      </c>
      <c r="T33" s="45">
        <v>18.8</v>
      </c>
      <c r="U33" s="45"/>
      <c r="V33" s="6">
        <f t="shared" si="17"/>
        <v>13.8</v>
      </c>
      <c r="W33" s="6">
        <v>13.8</v>
      </c>
      <c r="X33" s="6"/>
      <c r="Y33" s="6">
        <f t="shared" si="18"/>
        <v>13.8</v>
      </c>
      <c r="Z33" s="6">
        <v>13.8</v>
      </c>
      <c r="AA33" s="6"/>
      <c r="AB33" s="6">
        <f t="shared" si="19"/>
        <v>13.8</v>
      </c>
      <c r="AC33" s="78">
        <v>13.8</v>
      </c>
      <c r="AD33" s="78">
        <v>0</v>
      </c>
      <c r="AE33" s="6">
        <f t="shared" si="20"/>
        <v>1.7250000000000001</v>
      </c>
    </row>
    <row r="34" spans="1:31" s="8" customFormat="1">
      <c r="A34" s="78">
        <f t="shared" si="9"/>
        <v>17</v>
      </c>
      <c r="B34" s="7" t="s">
        <v>16</v>
      </c>
      <c r="C34" s="77" t="s">
        <v>34</v>
      </c>
      <c r="D34" s="77">
        <v>33</v>
      </c>
      <c r="E34" s="77"/>
      <c r="F34" s="34">
        <v>16</v>
      </c>
      <c r="G34" s="45">
        <f t="shared" si="12"/>
        <v>668.53</v>
      </c>
      <c r="H34" s="45">
        <f>144.6+140.93+50</f>
        <v>335.53</v>
      </c>
      <c r="I34" s="45">
        <f>211.2+171.8-50</f>
        <v>333</v>
      </c>
      <c r="J34" s="45">
        <f t="shared" si="13"/>
        <v>523.67000000000007</v>
      </c>
      <c r="K34" s="45">
        <f>137.8+87.37</f>
        <v>225.17000000000002</v>
      </c>
      <c r="L34" s="45">
        <f>195.6+102.9</f>
        <v>298.5</v>
      </c>
      <c r="M34" s="45">
        <f t="shared" si="14"/>
        <v>505.61</v>
      </c>
      <c r="N34" s="45">
        <f>137.8+78.74</f>
        <v>216.54000000000002</v>
      </c>
      <c r="O34" s="45">
        <f>195.6+93.47</f>
        <v>289.07</v>
      </c>
      <c r="P34" s="45">
        <f t="shared" si="15"/>
        <v>501.73</v>
      </c>
      <c r="Q34" s="45">
        <f>137.8+76.94</f>
        <v>214.74</v>
      </c>
      <c r="R34" s="45">
        <f>195.6+91.39</f>
        <v>286.99</v>
      </c>
      <c r="S34" s="45">
        <f t="shared" si="16"/>
        <v>501.03000000000003</v>
      </c>
      <c r="T34" s="45">
        <f>76.94+137.8</f>
        <v>214.74</v>
      </c>
      <c r="U34" s="45">
        <f>91.39+194.9</f>
        <v>286.29000000000002</v>
      </c>
      <c r="V34" s="6">
        <f t="shared" si="17"/>
        <v>497.14</v>
      </c>
      <c r="W34" s="6">
        <v>212.93</v>
      </c>
      <c r="X34" s="6">
        <v>284.20999999999998</v>
      </c>
      <c r="Y34" s="6">
        <f t="shared" si="18"/>
        <v>489.38</v>
      </c>
      <c r="Z34" s="6">
        <v>209.33</v>
      </c>
      <c r="AA34" s="6">
        <v>280.05</v>
      </c>
      <c r="AB34" s="6">
        <f t="shared" si="19"/>
        <v>485.50000000000006</v>
      </c>
      <c r="AC34" s="7">
        <f>69.73+137.8</f>
        <v>207.53000000000003</v>
      </c>
      <c r="AD34" s="7">
        <f>83.07+194.9</f>
        <v>277.97000000000003</v>
      </c>
      <c r="AE34" s="6">
        <f t="shared" si="20"/>
        <v>30.343750000000004</v>
      </c>
    </row>
    <row r="35" spans="1:31" s="8" customFormat="1">
      <c r="A35" s="78">
        <f t="shared" si="9"/>
        <v>18</v>
      </c>
      <c r="B35" s="7" t="s">
        <v>16</v>
      </c>
      <c r="C35" s="77" t="s">
        <v>34</v>
      </c>
      <c r="D35" s="77">
        <v>45</v>
      </c>
      <c r="E35" s="77"/>
      <c r="F35" s="34">
        <v>12</v>
      </c>
      <c r="G35" s="45">
        <f t="shared" si="12"/>
        <v>87.22999999999999</v>
      </c>
      <c r="H35" s="45">
        <f>32.9+42.29</f>
        <v>75.19</v>
      </c>
      <c r="I35" s="45">
        <f>6.4+5.64</f>
        <v>12.04</v>
      </c>
      <c r="J35" s="45">
        <f t="shared" si="13"/>
        <v>50.17</v>
      </c>
      <c r="K35" s="45">
        <f>31.7+11.64</f>
        <v>43.34</v>
      </c>
      <c r="L35" s="45">
        <f>5+1.83</f>
        <v>6.83</v>
      </c>
      <c r="M35" s="45">
        <f t="shared" si="14"/>
        <v>50.17</v>
      </c>
      <c r="N35" s="45">
        <f>31.7+11.64</f>
        <v>43.34</v>
      </c>
      <c r="O35" s="45">
        <f>5+1.83</f>
        <v>6.83</v>
      </c>
      <c r="P35" s="45">
        <f t="shared" si="15"/>
        <v>50.17</v>
      </c>
      <c r="Q35" s="45">
        <f>31.7+11.64</f>
        <v>43.34</v>
      </c>
      <c r="R35" s="45">
        <f>5+1.83</f>
        <v>6.83</v>
      </c>
      <c r="S35" s="45">
        <f t="shared" si="16"/>
        <v>50.173000000000002</v>
      </c>
      <c r="T35" s="45">
        <f>11.64+31.7</f>
        <v>43.34</v>
      </c>
      <c r="U35" s="45">
        <f>1.833+5</f>
        <v>6.8330000000000002</v>
      </c>
      <c r="V35" s="6">
        <f t="shared" si="17"/>
        <v>50.173000000000002</v>
      </c>
      <c r="W35" s="6">
        <f>11.64+31.7</f>
        <v>43.34</v>
      </c>
      <c r="X35" s="6">
        <f>1.833+5</f>
        <v>6.8330000000000002</v>
      </c>
      <c r="Y35" s="6">
        <f t="shared" si="18"/>
        <v>50.47</v>
      </c>
      <c r="Z35" s="6">
        <v>43.64</v>
      </c>
      <c r="AA35" s="6">
        <v>6.83</v>
      </c>
      <c r="AB35" s="6">
        <f t="shared" si="19"/>
        <v>50.39</v>
      </c>
      <c r="AC35" s="7">
        <f>11.64+32</f>
        <v>43.64</v>
      </c>
      <c r="AD35" s="7">
        <f>1.75+5</f>
        <v>6.75</v>
      </c>
      <c r="AE35" s="6">
        <f t="shared" si="20"/>
        <v>4.1991666666666667</v>
      </c>
    </row>
    <row r="36" spans="1:31">
      <c r="A36" s="78">
        <f t="shared" si="9"/>
        <v>19</v>
      </c>
      <c r="B36" s="78" t="s">
        <v>16</v>
      </c>
      <c r="C36" s="77" t="s">
        <v>35</v>
      </c>
      <c r="D36" s="77">
        <v>18</v>
      </c>
      <c r="E36" s="77"/>
      <c r="F36" s="34">
        <v>5</v>
      </c>
      <c r="G36" s="45">
        <f t="shared" si="12"/>
        <v>64.599999999999994</v>
      </c>
      <c r="H36" s="45">
        <v>10.1</v>
      </c>
      <c r="I36" s="45">
        <v>54.5</v>
      </c>
      <c r="J36" s="45">
        <f t="shared" si="13"/>
        <v>12.9</v>
      </c>
      <c r="K36" s="45">
        <v>2.1</v>
      </c>
      <c r="L36" s="45">
        <v>10.8</v>
      </c>
      <c r="M36" s="45">
        <f t="shared" si="14"/>
        <v>6.6999999999999993</v>
      </c>
      <c r="N36" s="45">
        <v>2.1</v>
      </c>
      <c r="O36" s="45">
        <v>4.5999999999999996</v>
      </c>
      <c r="P36" s="45">
        <f t="shared" si="15"/>
        <v>6.6999999999999993</v>
      </c>
      <c r="Q36" s="45">
        <f>2.1</f>
        <v>2.1</v>
      </c>
      <c r="R36" s="45">
        <v>4.5999999999999996</v>
      </c>
      <c r="S36" s="45">
        <f t="shared" si="16"/>
        <v>6.6999999999999993</v>
      </c>
      <c r="T36" s="45">
        <v>2.1</v>
      </c>
      <c r="U36" s="45">
        <v>4.5999999999999996</v>
      </c>
      <c r="V36" s="6">
        <f t="shared" si="17"/>
        <v>6.6999999999999993</v>
      </c>
      <c r="W36" s="6">
        <v>2.1</v>
      </c>
      <c r="X36" s="6">
        <v>4.5999999999999996</v>
      </c>
      <c r="Y36" s="6">
        <f t="shared" si="18"/>
        <v>6.6999999999999993</v>
      </c>
      <c r="Z36" s="6">
        <v>2.1</v>
      </c>
      <c r="AA36" s="6">
        <v>4.5999999999999996</v>
      </c>
      <c r="AB36" s="6">
        <f t="shared" si="19"/>
        <v>6.6999999999999993</v>
      </c>
      <c r="AC36" s="78">
        <v>2.1</v>
      </c>
      <c r="AD36" s="78">
        <v>4.5999999999999996</v>
      </c>
      <c r="AE36" s="6">
        <f t="shared" si="20"/>
        <v>1.3399999999999999</v>
      </c>
    </row>
    <row r="37" spans="1:31" s="8" customFormat="1" ht="15" customHeight="1">
      <c r="A37" s="78">
        <f t="shared" si="9"/>
        <v>20</v>
      </c>
      <c r="B37" s="7" t="s">
        <v>16</v>
      </c>
      <c r="C37" s="77" t="s">
        <v>36</v>
      </c>
      <c r="D37" s="77">
        <v>30</v>
      </c>
      <c r="E37" s="77"/>
      <c r="F37" s="34">
        <v>19</v>
      </c>
      <c r="G37" s="45">
        <f t="shared" si="12"/>
        <v>561.63</v>
      </c>
      <c r="H37" s="45">
        <f>92.2+82.23+100</f>
        <v>274.43</v>
      </c>
      <c r="I37" s="45">
        <f>168.2+219-100</f>
        <v>287.2</v>
      </c>
      <c r="J37" s="45">
        <f t="shared" si="13"/>
        <v>469.68</v>
      </c>
      <c r="K37" s="45">
        <f>92.2+53.99</f>
        <v>146.19</v>
      </c>
      <c r="L37" s="45">
        <f>168.2+155.29</f>
        <v>323.49</v>
      </c>
      <c r="M37" s="45">
        <f t="shared" si="14"/>
        <v>469.68</v>
      </c>
      <c r="N37" s="45">
        <f>92.2+53.99</f>
        <v>146.19</v>
      </c>
      <c r="O37" s="45">
        <f>168.2+155.29</f>
        <v>323.49</v>
      </c>
      <c r="P37" s="45">
        <f t="shared" si="15"/>
        <v>469.68</v>
      </c>
      <c r="Q37" s="45">
        <f>92.2+53.99</f>
        <v>146.19</v>
      </c>
      <c r="R37" s="45">
        <f>168.2+155.29</f>
        <v>323.49</v>
      </c>
      <c r="S37" s="45">
        <f t="shared" si="16"/>
        <v>469.68</v>
      </c>
      <c r="T37" s="45">
        <f>53.99+92.2</f>
        <v>146.19</v>
      </c>
      <c r="U37" s="45">
        <f>155.29+168.2</f>
        <v>323.49</v>
      </c>
      <c r="V37" s="6">
        <f t="shared" si="17"/>
        <v>469.68</v>
      </c>
      <c r="W37" s="6">
        <f>53.99+92.2</f>
        <v>146.19</v>
      </c>
      <c r="X37" s="6">
        <f>155.29+168.2</f>
        <v>323.49</v>
      </c>
      <c r="Y37" s="6">
        <f t="shared" si="18"/>
        <v>469.67</v>
      </c>
      <c r="Z37" s="6">
        <v>146.18</v>
      </c>
      <c r="AA37" s="6">
        <v>323.49</v>
      </c>
      <c r="AB37" s="6">
        <f t="shared" si="19"/>
        <v>431.86999999999995</v>
      </c>
      <c r="AC37" s="7">
        <f>53.98+80.6</f>
        <v>134.57999999999998</v>
      </c>
      <c r="AD37" s="7">
        <f>155.29+142</f>
        <v>297.28999999999996</v>
      </c>
      <c r="AE37" s="6">
        <f t="shared" si="20"/>
        <v>22.729999999999997</v>
      </c>
    </row>
    <row r="38" spans="1:31" s="8" customFormat="1">
      <c r="A38" s="78">
        <f t="shared" si="9"/>
        <v>21</v>
      </c>
      <c r="B38" s="7" t="s">
        <v>16</v>
      </c>
      <c r="C38" s="77" t="s">
        <v>36</v>
      </c>
      <c r="D38" s="77">
        <v>32</v>
      </c>
      <c r="E38" s="77"/>
      <c r="F38" s="34">
        <v>12</v>
      </c>
      <c r="G38" s="45">
        <f t="shared" si="12"/>
        <v>262.41000000000003</v>
      </c>
      <c r="H38" s="45">
        <f>29.8+67.37</f>
        <v>97.17</v>
      </c>
      <c r="I38" s="45">
        <f>56.1+109.14</f>
        <v>165.24</v>
      </c>
      <c r="J38" s="45">
        <f t="shared" si="13"/>
        <v>132.59</v>
      </c>
      <c r="K38" s="45">
        <f>9.8+24.26</f>
        <v>34.06</v>
      </c>
      <c r="L38" s="45">
        <f>56.1+42.43</f>
        <v>98.53</v>
      </c>
      <c r="M38" s="45">
        <f t="shared" si="14"/>
        <v>132.59</v>
      </c>
      <c r="N38" s="45">
        <f>9.8+24.26</f>
        <v>34.06</v>
      </c>
      <c r="O38" s="45">
        <f>56.1+42.43</f>
        <v>98.53</v>
      </c>
      <c r="P38" s="45">
        <f t="shared" si="15"/>
        <v>117.59</v>
      </c>
      <c r="Q38" s="45">
        <v>24.26</v>
      </c>
      <c r="R38" s="45">
        <f>50.9+42.43</f>
        <v>93.33</v>
      </c>
      <c r="S38" s="45">
        <f t="shared" si="16"/>
        <v>120.59</v>
      </c>
      <c r="T38" s="45">
        <f>24.26+3</f>
        <v>27.26</v>
      </c>
      <c r="U38" s="45">
        <f>42.43+50.9</f>
        <v>93.33</v>
      </c>
      <c r="V38" s="6">
        <f t="shared" si="17"/>
        <v>117.59</v>
      </c>
      <c r="W38" s="6">
        <v>24.26</v>
      </c>
      <c r="X38" s="6">
        <f>42.43+50.9</f>
        <v>93.33</v>
      </c>
      <c r="Y38" s="6">
        <f t="shared" si="18"/>
        <v>100.59</v>
      </c>
      <c r="Z38" s="6">
        <v>27.26</v>
      </c>
      <c r="AA38" s="6">
        <v>73.33</v>
      </c>
      <c r="AB38" s="6">
        <f t="shared" si="19"/>
        <v>100.59</v>
      </c>
      <c r="AC38" s="7">
        <f>24.26+3</f>
        <v>27.26</v>
      </c>
      <c r="AD38" s="7">
        <f>42.43+30.9</f>
        <v>73.33</v>
      </c>
      <c r="AE38" s="6">
        <f t="shared" si="20"/>
        <v>8.3825000000000003</v>
      </c>
    </row>
    <row r="39" spans="1:31">
      <c r="A39" s="78">
        <f t="shared" si="9"/>
        <v>22</v>
      </c>
      <c r="B39" s="78" t="s">
        <v>16</v>
      </c>
      <c r="C39" s="77" t="s">
        <v>36</v>
      </c>
      <c r="D39" s="77">
        <v>44</v>
      </c>
      <c r="E39" s="77"/>
      <c r="F39" s="34">
        <v>11</v>
      </c>
      <c r="G39" s="45">
        <f t="shared" si="12"/>
        <v>18.100000000000001</v>
      </c>
      <c r="H39" s="45">
        <v>18.100000000000001</v>
      </c>
      <c r="I39" s="45">
        <v>0</v>
      </c>
      <c r="J39" s="45">
        <f t="shared" si="13"/>
        <v>18.100000000000001</v>
      </c>
      <c r="K39" s="45">
        <v>18.100000000000001</v>
      </c>
      <c r="L39" s="45">
        <v>0</v>
      </c>
      <c r="M39" s="45">
        <f t="shared" si="14"/>
        <v>18.100000000000001</v>
      </c>
      <c r="N39" s="45">
        <v>18.100000000000001</v>
      </c>
      <c r="O39" s="45">
        <v>0</v>
      </c>
      <c r="P39" s="45">
        <f t="shared" si="15"/>
        <v>18.100000000000001</v>
      </c>
      <c r="Q39" s="45">
        <f>18.1</f>
        <v>18.100000000000001</v>
      </c>
      <c r="R39" s="45">
        <v>0</v>
      </c>
      <c r="S39" s="45">
        <f t="shared" si="16"/>
        <v>18.100000000000001</v>
      </c>
      <c r="T39" s="45">
        <v>18.100000000000001</v>
      </c>
      <c r="U39" s="45">
        <v>0</v>
      </c>
      <c r="V39" s="6">
        <f t="shared" si="17"/>
        <v>18.100000000000001</v>
      </c>
      <c r="W39" s="6">
        <v>18.100000000000001</v>
      </c>
      <c r="X39" s="6">
        <v>0</v>
      </c>
      <c r="Y39" s="6">
        <f t="shared" si="18"/>
        <v>13.3</v>
      </c>
      <c r="Z39" s="6">
        <v>13.3</v>
      </c>
      <c r="AA39" s="6"/>
      <c r="AB39" s="6">
        <f t="shared" si="19"/>
        <v>13.3</v>
      </c>
      <c r="AC39" s="78">
        <v>13.3</v>
      </c>
      <c r="AD39" s="78">
        <v>0</v>
      </c>
      <c r="AE39" s="6">
        <f t="shared" si="20"/>
        <v>1.2090909090909092</v>
      </c>
    </row>
    <row r="40" spans="1:31">
      <c r="A40" s="78">
        <f t="shared" si="9"/>
        <v>23</v>
      </c>
      <c r="B40" s="78" t="s">
        <v>16</v>
      </c>
      <c r="C40" s="77" t="s">
        <v>37</v>
      </c>
      <c r="D40" s="77">
        <v>37</v>
      </c>
      <c r="E40" s="77"/>
      <c r="F40" s="34"/>
      <c r="G40" s="45">
        <f t="shared" si="12"/>
        <v>55.800000000000004</v>
      </c>
      <c r="H40" s="45">
        <v>7.1</v>
      </c>
      <c r="I40" s="45">
        <v>48.7</v>
      </c>
      <c r="J40" s="45">
        <f t="shared" si="13"/>
        <v>2.6</v>
      </c>
      <c r="K40" s="45">
        <v>0.4</v>
      </c>
      <c r="L40" s="45">
        <v>2.2000000000000002</v>
      </c>
      <c r="M40" s="45">
        <f t="shared" si="14"/>
        <v>2.6</v>
      </c>
      <c r="N40" s="45">
        <v>0.4</v>
      </c>
      <c r="O40" s="45">
        <v>2.2000000000000002</v>
      </c>
      <c r="P40" s="45">
        <f t="shared" si="15"/>
        <v>2.6</v>
      </c>
      <c r="Q40" s="45">
        <v>0.4</v>
      </c>
      <c r="R40" s="45">
        <f>2.2</f>
        <v>2.2000000000000002</v>
      </c>
      <c r="S40" s="45">
        <f t="shared" si="16"/>
        <v>2.6</v>
      </c>
      <c r="T40" s="45">
        <v>0.4</v>
      </c>
      <c r="U40" s="45">
        <v>2.2000000000000002</v>
      </c>
      <c r="V40" s="6">
        <f t="shared" si="17"/>
        <v>2.6</v>
      </c>
      <c r="W40" s="6">
        <v>0.4</v>
      </c>
      <c r="X40" s="6">
        <v>2.2000000000000002</v>
      </c>
      <c r="Y40" s="6">
        <f t="shared" si="18"/>
        <v>0</v>
      </c>
      <c r="Z40" s="6">
        <v>0</v>
      </c>
      <c r="AA40" s="6">
        <v>0</v>
      </c>
      <c r="AB40" s="6">
        <f t="shared" si="19"/>
        <v>0</v>
      </c>
      <c r="AC40" s="78">
        <v>0</v>
      </c>
      <c r="AD40" s="78">
        <v>0</v>
      </c>
      <c r="AE40" s="6"/>
    </row>
    <row r="41" spans="1:31" s="8" customFormat="1">
      <c r="A41" s="78">
        <f t="shared" si="9"/>
        <v>24</v>
      </c>
      <c r="B41" s="7" t="s">
        <v>16</v>
      </c>
      <c r="C41" s="77" t="s">
        <v>38</v>
      </c>
      <c r="D41" s="77">
        <v>12</v>
      </c>
      <c r="E41" s="77"/>
      <c r="F41" s="34">
        <v>12</v>
      </c>
      <c r="G41" s="45">
        <f t="shared" si="12"/>
        <v>797.42</v>
      </c>
      <c r="H41" s="45">
        <f>90.3+121.29+100+100</f>
        <v>411.59000000000003</v>
      </c>
      <c r="I41" s="45">
        <f>254.7+331.13-100-100</f>
        <v>385.82999999999993</v>
      </c>
      <c r="J41" s="45">
        <f t="shared" si="13"/>
        <v>728.73</v>
      </c>
      <c r="K41" s="45">
        <f>78.8+92.72</f>
        <v>171.51999999999998</v>
      </c>
      <c r="L41" s="45">
        <f>254.8+302.41</f>
        <v>557.21</v>
      </c>
      <c r="M41" s="45">
        <f t="shared" si="14"/>
        <v>707.25</v>
      </c>
      <c r="N41" s="45">
        <f>66.4+89.76</f>
        <v>156.16000000000003</v>
      </c>
      <c r="O41" s="45">
        <f>254.1+296.99</f>
        <v>551.09</v>
      </c>
      <c r="P41" s="45">
        <f t="shared" si="15"/>
        <v>702.56999999999994</v>
      </c>
      <c r="Q41" s="45">
        <f>66.4+89.76</f>
        <v>156.16000000000003</v>
      </c>
      <c r="R41" s="45">
        <f>254.1+292.31</f>
        <v>546.41</v>
      </c>
      <c r="S41" s="45">
        <f t="shared" si="16"/>
        <v>674.78</v>
      </c>
      <c r="T41" s="45">
        <f>88.39+44.7</f>
        <v>133.09</v>
      </c>
      <c r="U41" s="45">
        <f>287.59+254.1</f>
        <v>541.68999999999994</v>
      </c>
      <c r="V41" s="6">
        <f t="shared" si="17"/>
        <v>666.23</v>
      </c>
      <c r="W41" s="6">
        <v>131.72</v>
      </c>
      <c r="X41" s="6">
        <v>534.51</v>
      </c>
      <c r="Y41" s="6">
        <f t="shared" si="18"/>
        <v>624.03</v>
      </c>
      <c r="Z41" s="6">
        <v>122.54</v>
      </c>
      <c r="AA41" s="6">
        <v>501.49</v>
      </c>
      <c r="AB41" s="6">
        <f t="shared" si="19"/>
        <v>592.42999999999995</v>
      </c>
      <c r="AC41" s="7">
        <f>85.44+37.1</f>
        <v>122.53999999999999</v>
      </c>
      <c r="AD41" s="7">
        <f>277.49+192.4</f>
        <v>469.89</v>
      </c>
      <c r="AE41" s="6">
        <f t="shared" si="20"/>
        <v>49.369166666666665</v>
      </c>
    </row>
    <row r="42" spans="1:31" s="8" customFormat="1">
      <c r="A42" s="78">
        <f t="shared" si="9"/>
        <v>25</v>
      </c>
      <c r="B42" s="7" t="s">
        <v>16</v>
      </c>
      <c r="C42" s="77" t="s">
        <v>38</v>
      </c>
      <c r="D42" s="77">
        <v>6</v>
      </c>
      <c r="E42" s="77"/>
      <c r="F42" s="34">
        <v>12</v>
      </c>
      <c r="G42" s="45">
        <f t="shared" si="12"/>
        <v>413.74</v>
      </c>
      <c r="H42" s="45">
        <f>73.3+69.8+50</f>
        <v>193.1</v>
      </c>
      <c r="I42" s="45">
        <f>148.7+121.94-50</f>
        <v>220.64</v>
      </c>
      <c r="J42" s="45">
        <f t="shared" si="13"/>
        <v>360.15999999999997</v>
      </c>
      <c r="K42" s="45">
        <f>61+68.06</f>
        <v>129.06</v>
      </c>
      <c r="L42" s="45">
        <f>120.8+110.3</f>
        <v>231.1</v>
      </c>
      <c r="M42" s="45">
        <f t="shared" si="14"/>
        <v>360.06</v>
      </c>
      <c r="N42" s="45">
        <f>61+68.06</f>
        <v>129.06</v>
      </c>
      <c r="O42" s="45">
        <f>120.7+110.3</f>
        <v>231</v>
      </c>
      <c r="P42" s="45">
        <f t="shared" si="15"/>
        <v>360.06</v>
      </c>
      <c r="Q42" s="45">
        <f>61+68.06</f>
        <v>129.06</v>
      </c>
      <c r="R42" s="45">
        <f>120.7+110.3</f>
        <v>231</v>
      </c>
      <c r="S42" s="45">
        <f t="shared" si="16"/>
        <v>367.06</v>
      </c>
      <c r="T42" s="45">
        <f>68.06+61+7</f>
        <v>136.06</v>
      </c>
      <c r="U42" s="45">
        <f>110.3+120.7</f>
        <v>231</v>
      </c>
      <c r="V42" s="6">
        <f t="shared" si="17"/>
        <v>360.06</v>
      </c>
      <c r="W42" s="6">
        <v>129.06</v>
      </c>
      <c r="X42" s="6">
        <f>110.3+120.7</f>
        <v>231</v>
      </c>
      <c r="Y42" s="6">
        <f t="shared" si="18"/>
        <v>341.26</v>
      </c>
      <c r="Z42" s="6">
        <v>117.56</v>
      </c>
      <c r="AA42" s="6">
        <v>223.7</v>
      </c>
      <c r="AB42" s="6">
        <f t="shared" si="19"/>
        <v>321.64999999999998</v>
      </c>
      <c r="AC42" s="7">
        <f>68.05+42.5+7</f>
        <v>117.55</v>
      </c>
      <c r="AD42" s="7">
        <f>110.3+93.8</f>
        <v>204.1</v>
      </c>
      <c r="AE42" s="6">
        <f t="shared" si="20"/>
        <v>26.804166666666664</v>
      </c>
    </row>
    <row r="43" spans="1:31" s="8" customFormat="1" ht="21.75" customHeight="1">
      <c r="A43" s="78">
        <f t="shared" si="9"/>
        <v>26</v>
      </c>
      <c r="B43" s="7" t="s">
        <v>16</v>
      </c>
      <c r="C43" s="77" t="s">
        <v>39</v>
      </c>
      <c r="D43" s="77">
        <v>6</v>
      </c>
      <c r="E43" s="77"/>
      <c r="F43" s="34">
        <v>16</v>
      </c>
      <c r="G43" s="45">
        <f t="shared" si="12"/>
        <v>1308.33</v>
      </c>
      <c r="H43" s="45">
        <f>277.1+164.43+200</f>
        <v>641.53</v>
      </c>
      <c r="I43" s="45">
        <f>482.9+383.9-200</f>
        <v>666.8</v>
      </c>
      <c r="J43" s="45">
        <f t="shared" si="13"/>
        <v>1220.3499999999999</v>
      </c>
      <c r="K43" s="45">
        <f>263+130.88</f>
        <v>393.88</v>
      </c>
      <c r="L43" s="45">
        <f>461.1+365.37</f>
        <v>826.47</v>
      </c>
      <c r="M43" s="45">
        <f t="shared" si="14"/>
        <v>1215.75</v>
      </c>
      <c r="N43" s="45">
        <f>263+130.88</f>
        <v>393.88</v>
      </c>
      <c r="O43" s="45">
        <f>456.5+365.37</f>
        <v>821.87</v>
      </c>
      <c r="P43" s="45">
        <f t="shared" si="15"/>
        <v>1183.6500000000001</v>
      </c>
      <c r="Q43" s="45">
        <f>236.9+130.88</f>
        <v>367.78</v>
      </c>
      <c r="R43" s="45">
        <f>450.5+365.37</f>
        <v>815.87</v>
      </c>
      <c r="S43" s="45">
        <f t="shared" si="16"/>
        <v>1141.06</v>
      </c>
      <c r="T43" s="45">
        <f>124.88+230.2</f>
        <v>355.08</v>
      </c>
      <c r="U43" s="45">
        <f>355.38+430.6</f>
        <v>785.98</v>
      </c>
      <c r="V43" s="6">
        <f t="shared" si="17"/>
        <v>1122.27</v>
      </c>
      <c r="W43" s="6">
        <v>343.88</v>
      </c>
      <c r="X43" s="6">
        <v>778.39</v>
      </c>
      <c r="Y43" s="6">
        <f t="shared" si="18"/>
        <v>1087.3899999999999</v>
      </c>
      <c r="Z43" s="6">
        <v>318.10000000000002</v>
      </c>
      <c r="AA43" s="6">
        <v>769.29</v>
      </c>
      <c r="AB43" s="6">
        <f t="shared" si="19"/>
        <v>1057.29</v>
      </c>
      <c r="AC43" s="7">
        <f>119.8+168.2</f>
        <v>288</v>
      </c>
      <c r="AD43" s="7">
        <f>338.69+430.6</f>
        <v>769.29</v>
      </c>
      <c r="AE43" s="6">
        <f t="shared" si="20"/>
        <v>66.080624999999998</v>
      </c>
    </row>
    <row r="44" spans="1:31" s="8" customFormat="1" ht="21" customHeight="1">
      <c r="A44" s="78">
        <f t="shared" si="9"/>
        <v>27</v>
      </c>
      <c r="B44" s="7" t="s">
        <v>16</v>
      </c>
      <c r="C44" s="77" t="s">
        <v>39</v>
      </c>
      <c r="D44" s="77">
        <v>8</v>
      </c>
      <c r="E44" s="77"/>
      <c r="F44" s="34">
        <v>12</v>
      </c>
      <c r="G44" s="45">
        <f t="shared" si="12"/>
        <v>353.99</v>
      </c>
      <c r="H44" s="45">
        <f>57.8+49.02+50</f>
        <v>156.82</v>
      </c>
      <c r="I44" s="45">
        <f>113.3+133.87-50</f>
        <v>197.17000000000002</v>
      </c>
      <c r="J44" s="45">
        <f t="shared" si="13"/>
        <v>220.32999999999998</v>
      </c>
      <c r="K44" s="45">
        <f>57.8+23.34</f>
        <v>81.14</v>
      </c>
      <c r="L44" s="45">
        <f>86.1+53.09</f>
        <v>139.19</v>
      </c>
      <c r="M44" s="45">
        <f t="shared" si="14"/>
        <v>220.32999999999998</v>
      </c>
      <c r="N44" s="45">
        <f>57.8+23.34</f>
        <v>81.14</v>
      </c>
      <c r="O44" s="45">
        <f>86.1+53.09</f>
        <v>139.19</v>
      </c>
      <c r="P44" s="45">
        <f t="shared" si="15"/>
        <v>220.32999999999998</v>
      </c>
      <c r="Q44" s="45">
        <f>57.8+23.34</f>
        <v>81.14</v>
      </c>
      <c r="R44" s="45">
        <f>86.1+53.09</f>
        <v>139.19</v>
      </c>
      <c r="S44" s="45">
        <f t="shared" si="16"/>
        <v>204.13</v>
      </c>
      <c r="T44" s="45">
        <f>23.34+41.6</f>
        <v>64.94</v>
      </c>
      <c r="U44" s="45">
        <f>53.09+86.1</f>
        <v>139.19</v>
      </c>
      <c r="V44" s="6">
        <f t="shared" si="17"/>
        <v>192.16</v>
      </c>
      <c r="W44" s="6">
        <v>56.49</v>
      </c>
      <c r="X44" s="6">
        <v>135.66999999999999</v>
      </c>
      <c r="Y44" s="6">
        <f t="shared" si="18"/>
        <v>183.64999999999998</v>
      </c>
      <c r="Z44" s="6">
        <v>47.98</v>
      </c>
      <c r="AA44" s="6">
        <v>135.66999999999999</v>
      </c>
      <c r="AB44" s="6">
        <f t="shared" si="19"/>
        <v>175.34</v>
      </c>
      <c r="AC44" s="7">
        <f>23.28+21.5</f>
        <v>44.78</v>
      </c>
      <c r="AD44" s="7">
        <f>49.56+81</f>
        <v>130.56</v>
      </c>
      <c r="AE44" s="6">
        <f t="shared" si="20"/>
        <v>14.611666666666666</v>
      </c>
    </row>
    <row r="45" spans="1:31">
      <c r="A45" s="78">
        <f t="shared" si="9"/>
        <v>28</v>
      </c>
      <c r="B45" s="78" t="s">
        <v>16</v>
      </c>
      <c r="C45" s="77" t="s">
        <v>31</v>
      </c>
      <c r="D45" s="77">
        <v>43</v>
      </c>
      <c r="E45" s="77" t="s">
        <v>20</v>
      </c>
      <c r="F45" s="34">
        <v>12</v>
      </c>
      <c r="G45" s="45">
        <f t="shared" si="12"/>
        <v>31.1</v>
      </c>
      <c r="H45" s="45">
        <v>13.5</v>
      </c>
      <c r="I45" s="45">
        <v>17.600000000000001</v>
      </c>
      <c r="J45" s="45">
        <f t="shared" si="13"/>
        <v>31.1</v>
      </c>
      <c r="K45" s="45">
        <v>13.5</v>
      </c>
      <c r="L45" s="45">
        <v>17.600000000000001</v>
      </c>
      <c r="M45" s="45">
        <f t="shared" si="14"/>
        <v>31.1</v>
      </c>
      <c r="N45" s="45">
        <v>13.5</v>
      </c>
      <c r="O45" s="45">
        <v>17.600000000000001</v>
      </c>
      <c r="P45" s="45">
        <f t="shared" si="15"/>
        <v>31.1</v>
      </c>
      <c r="Q45" s="45">
        <f>13.5</f>
        <v>13.5</v>
      </c>
      <c r="R45" s="45">
        <f>17.6</f>
        <v>17.600000000000001</v>
      </c>
      <c r="S45" s="45">
        <f t="shared" si="16"/>
        <v>31.1</v>
      </c>
      <c r="T45" s="45">
        <v>13.5</v>
      </c>
      <c r="U45" s="45">
        <v>17.600000000000001</v>
      </c>
      <c r="V45" s="6">
        <f t="shared" si="17"/>
        <v>31.1</v>
      </c>
      <c r="W45" s="6">
        <v>13.5</v>
      </c>
      <c r="X45" s="6">
        <v>17.600000000000001</v>
      </c>
      <c r="Y45" s="6">
        <f t="shared" si="18"/>
        <v>31.1</v>
      </c>
      <c r="Z45" s="6">
        <v>13.5</v>
      </c>
      <c r="AA45" s="6">
        <v>17.600000000000001</v>
      </c>
      <c r="AB45" s="6">
        <f t="shared" si="19"/>
        <v>31.1</v>
      </c>
      <c r="AC45" s="78">
        <v>13.5</v>
      </c>
      <c r="AD45" s="78">
        <v>17.600000000000001</v>
      </c>
      <c r="AE45" s="6">
        <f t="shared" si="20"/>
        <v>2.5916666666666668</v>
      </c>
    </row>
    <row r="46" spans="1:31">
      <c r="A46" s="78">
        <f t="shared" si="9"/>
        <v>29</v>
      </c>
      <c r="B46" s="78" t="s">
        <v>16</v>
      </c>
      <c r="C46" s="77" t="s">
        <v>31</v>
      </c>
      <c r="D46" s="77">
        <v>5</v>
      </c>
      <c r="E46" s="77" t="s">
        <v>20</v>
      </c>
      <c r="F46" s="34">
        <v>12</v>
      </c>
      <c r="G46" s="45">
        <f t="shared" si="12"/>
        <v>28.1</v>
      </c>
      <c r="H46" s="45">
        <v>10.6</v>
      </c>
      <c r="I46" s="45">
        <v>17.5</v>
      </c>
      <c r="J46" s="45">
        <f t="shared" si="13"/>
        <v>28.1</v>
      </c>
      <c r="K46" s="45">
        <v>10.6</v>
      </c>
      <c r="L46" s="45">
        <v>17.5</v>
      </c>
      <c r="M46" s="45">
        <f t="shared" si="14"/>
        <v>28.1</v>
      </c>
      <c r="N46" s="45">
        <v>10.6</v>
      </c>
      <c r="O46" s="45">
        <v>17.5</v>
      </c>
      <c r="P46" s="45">
        <f t="shared" si="15"/>
        <v>28.1</v>
      </c>
      <c r="Q46" s="45">
        <f>10.6</f>
        <v>10.6</v>
      </c>
      <c r="R46" s="45">
        <f>17.5</f>
        <v>17.5</v>
      </c>
      <c r="S46" s="45">
        <f t="shared" si="16"/>
        <v>1</v>
      </c>
      <c r="T46" s="45">
        <v>0</v>
      </c>
      <c r="U46" s="45">
        <v>1</v>
      </c>
      <c r="V46" s="6">
        <f t="shared" si="17"/>
        <v>0</v>
      </c>
      <c r="W46" s="6">
        <v>0</v>
      </c>
      <c r="X46" s="6">
        <v>0</v>
      </c>
      <c r="Y46" s="6">
        <f t="shared" si="18"/>
        <v>0</v>
      </c>
      <c r="Z46" s="6">
        <v>0</v>
      </c>
      <c r="AA46" s="6">
        <v>0</v>
      </c>
      <c r="AB46" s="6">
        <f t="shared" si="19"/>
        <v>0</v>
      </c>
      <c r="AC46" s="78">
        <v>0</v>
      </c>
      <c r="AD46" s="78">
        <v>0</v>
      </c>
      <c r="AE46" s="6">
        <f t="shared" si="20"/>
        <v>0</v>
      </c>
    </row>
    <row r="47" spans="1:31">
      <c r="A47" s="78">
        <f t="shared" si="9"/>
        <v>30</v>
      </c>
      <c r="B47" s="78" t="s">
        <v>16</v>
      </c>
      <c r="C47" s="77" t="s">
        <v>40</v>
      </c>
      <c r="D47" s="77">
        <v>7</v>
      </c>
      <c r="E47" s="77"/>
      <c r="F47" s="34">
        <v>8</v>
      </c>
      <c r="G47" s="45">
        <f t="shared" si="12"/>
        <v>6.3</v>
      </c>
      <c r="H47" s="45">
        <v>6.3</v>
      </c>
      <c r="I47" s="45">
        <v>0</v>
      </c>
      <c r="J47" s="45">
        <f t="shared" si="13"/>
        <v>0</v>
      </c>
      <c r="K47" s="45">
        <v>0</v>
      </c>
      <c r="L47" s="45">
        <v>0</v>
      </c>
      <c r="M47" s="45">
        <f t="shared" si="14"/>
        <v>0</v>
      </c>
      <c r="N47" s="45">
        <v>0</v>
      </c>
      <c r="O47" s="45">
        <v>0</v>
      </c>
      <c r="P47" s="45">
        <f t="shared" si="15"/>
        <v>0</v>
      </c>
      <c r="Q47" s="45">
        <v>0</v>
      </c>
      <c r="R47" s="45">
        <v>0</v>
      </c>
      <c r="S47" s="45">
        <f t="shared" si="16"/>
        <v>0</v>
      </c>
      <c r="T47" s="45">
        <v>0</v>
      </c>
      <c r="U47" s="45">
        <v>0</v>
      </c>
      <c r="V47" s="6">
        <f t="shared" si="17"/>
        <v>0</v>
      </c>
      <c r="W47" s="6">
        <v>0</v>
      </c>
      <c r="X47" s="6">
        <v>0</v>
      </c>
      <c r="Y47" s="6">
        <f t="shared" si="18"/>
        <v>0</v>
      </c>
      <c r="Z47" s="6">
        <v>0</v>
      </c>
      <c r="AA47" s="6">
        <v>0</v>
      </c>
      <c r="AB47" s="6">
        <f t="shared" si="19"/>
        <v>0</v>
      </c>
      <c r="AC47" s="78">
        <v>0</v>
      </c>
      <c r="AD47" s="78">
        <v>0</v>
      </c>
      <c r="AE47" s="6">
        <f t="shared" si="20"/>
        <v>0</v>
      </c>
    </row>
    <row r="48" spans="1:31">
      <c r="A48" s="78">
        <f t="shared" si="9"/>
        <v>31</v>
      </c>
      <c r="B48" s="78" t="s">
        <v>16</v>
      </c>
      <c r="C48" s="77" t="s">
        <v>33</v>
      </c>
      <c r="D48" s="77">
        <v>28</v>
      </c>
      <c r="E48" s="77"/>
      <c r="F48" s="34">
        <v>12</v>
      </c>
      <c r="G48" s="45">
        <f t="shared" si="12"/>
        <v>2.1</v>
      </c>
      <c r="H48" s="45">
        <v>2.1</v>
      </c>
      <c r="I48" s="45">
        <v>0</v>
      </c>
      <c r="J48" s="45">
        <f t="shared" si="13"/>
        <v>0</v>
      </c>
      <c r="K48" s="45">
        <v>0</v>
      </c>
      <c r="L48" s="45">
        <v>0</v>
      </c>
      <c r="M48" s="45">
        <f t="shared" si="14"/>
        <v>0</v>
      </c>
      <c r="N48" s="45">
        <v>0</v>
      </c>
      <c r="O48" s="45">
        <v>0</v>
      </c>
      <c r="P48" s="45">
        <f t="shared" si="15"/>
        <v>0</v>
      </c>
      <c r="Q48" s="45">
        <v>0</v>
      </c>
      <c r="R48" s="45">
        <v>0</v>
      </c>
      <c r="S48" s="45">
        <f t="shared" si="16"/>
        <v>0</v>
      </c>
      <c r="T48" s="45">
        <v>0</v>
      </c>
      <c r="U48" s="45">
        <v>0</v>
      </c>
      <c r="V48" s="6">
        <f t="shared" si="17"/>
        <v>0</v>
      </c>
      <c r="W48" s="6">
        <v>0</v>
      </c>
      <c r="X48" s="6">
        <v>0</v>
      </c>
      <c r="Y48" s="6">
        <f t="shared" si="18"/>
        <v>0</v>
      </c>
      <c r="Z48" s="6">
        <v>0</v>
      </c>
      <c r="AA48" s="6">
        <v>0</v>
      </c>
      <c r="AB48" s="6">
        <f t="shared" si="19"/>
        <v>0</v>
      </c>
      <c r="AC48" s="78">
        <v>0</v>
      </c>
      <c r="AD48" s="78">
        <v>0</v>
      </c>
      <c r="AE48" s="6">
        <f t="shared" si="20"/>
        <v>0</v>
      </c>
    </row>
    <row r="49" spans="1:31">
      <c r="A49" s="78">
        <f t="shared" si="9"/>
        <v>32</v>
      </c>
      <c r="B49" s="78" t="s">
        <v>16</v>
      </c>
      <c r="C49" s="77" t="s">
        <v>33</v>
      </c>
      <c r="D49" s="77">
        <v>55</v>
      </c>
      <c r="E49" s="77" t="s">
        <v>20</v>
      </c>
      <c r="F49" s="34">
        <v>12</v>
      </c>
      <c r="G49" s="45">
        <f t="shared" si="12"/>
        <v>5.4</v>
      </c>
      <c r="H49" s="45">
        <v>5.4</v>
      </c>
      <c r="I49" s="45">
        <v>0</v>
      </c>
      <c r="J49" s="45">
        <f t="shared" si="13"/>
        <v>5.4</v>
      </c>
      <c r="K49" s="45">
        <v>5.4</v>
      </c>
      <c r="L49" s="45">
        <v>0</v>
      </c>
      <c r="M49" s="45">
        <f t="shared" si="14"/>
        <v>5.4</v>
      </c>
      <c r="N49" s="45">
        <v>5.4</v>
      </c>
      <c r="O49" s="45">
        <v>0</v>
      </c>
      <c r="P49" s="45">
        <f t="shared" si="15"/>
        <v>5.4</v>
      </c>
      <c r="Q49" s="45">
        <f>5.4</f>
        <v>5.4</v>
      </c>
      <c r="R49" s="45">
        <v>0</v>
      </c>
      <c r="S49" s="45">
        <f t="shared" si="16"/>
        <v>5.4</v>
      </c>
      <c r="T49" s="45">
        <v>5.4</v>
      </c>
      <c r="U49" s="45">
        <v>0</v>
      </c>
      <c r="V49" s="6">
        <f t="shared" si="17"/>
        <v>5.4</v>
      </c>
      <c r="W49" s="6">
        <v>5.4</v>
      </c>
      <c r="X49" s="6">
        <v>0</v>
      </c>
      <c r="Y49" s="6">
        <f t="shared" si="18"/>
        <v>5.4</v>
      </c>
      <c r="Z49" s="6">
        <v>5.4</v>
      </c>
      <c r="AA49" s="6">
        <v>0</v>
      </c>
      <c r="AB49" s="6">
        <f t="shared" si="19"/>
        <v>5.4</v>
      </c>
      <c r="AC49" s="78">
        <v>5.4</v>
      </c>
      <c r="AD49" s="78">
        <v>0</v>
      </c>
      <c r="AE49" s="6">
        <f>AB49/F49</f>
        <v>0.45</v>
      </c>
    </row>
    <row r="50" spans="1:31" s="27" customFormat="1">
      <c r="A50" s="25"/>
      <c r="B50" s="26" t="s">
        <v>8</v>
      </c>
      <c r="C50" s="26"/>
      <c r="D50" s="26"/>
      <c r="E50" s="26"/>
      <c r="F50" s="71">
        <f>SUM(F18:F49)</f>
        <v>466</v>
      </c>
      <c r="G50" s="70">
        <f t="shared" ref="G50:AD50" si="21">SUM(G18:G49)</f>
        <v>7819.090000000002</v>
      </c>
      <c r="H50" s="70">
        <f t="shared" si="21"/>
        <v>4062.13</v>
      </c>
      <c r="I50" s="70">
        <f t="shared" si="21"/>
        <v>3756.9599999999996</v>
      </c>
      <c r="J50" s="70">
        <f t="shared" si="21"/>
        <v>6388.4500000000007</v>
      </c>
      <c r="K50" s="70">
        <f t="shared" si="21"/>
        <v>2496.0599999999995</v>
      </c>
      <c r="L50" s="70">
        <f t="shared" si="21"/>
        <v>3892.3899999999994</v>
      </c>
      <c r="M50" s="70">
        <f t="shared" si="21"/>
        <v>6243.7000000000016</v>
      </c>
      <c r="N50" s="70">
        <f t="shared" si="21"/>
        <v>2415.8699999999994</v>
      </c>
      <c r="O50" s="70">
        <f t="shared" si="21"/>
        <v>3827.8299999999995</v>
      </c>
      <c r="P50" s="70">
        <f t="shared" si="21"/>
        <v>6151.1600000000017</v>
      </c>
      <c r="Q50" s="70">
        <f t="shared" si="21"/>
        <v>2365.2699999999995</v>
      </c>
      <c r="R50" s="70">
        <f t="shared" si="21"/>
        <v>3785.89</v>
      </c>
      <c r="S50" s="70">
        <f t="shared" si="21"/>
        <v>6009.3830000000007</v>
      </c>
      <c r="T50" s="70">
        <f t="shared" si="21"/>
        <v>2302.3999999999996</v>
      </c>
      <c r="U50" s="70">
        <f t="shared" si="21"/>
        <v>3706.9829999999997</v>
      </c>
      <c r="V50" s="70">
        <f t="shared" si="21"/>
        <v>5885.223</v>
      </c>
      <c r="W50" s="70">
        <f t="shared" si="21"/>
        <v>2220.7799999999997</v>
      </c>
      <c r="X50" s="70">
        <f t="shared" si="21"/>
        <v>3664.4430000000002</v>
      </c>
      <c r="Y50" s="70">
        <f t="shared" si="21"/>
        <v>5739.6299999999992</v>
      </c>
      <c r="Z50" s="70">
        <f t="shared" si="21"/>
        <v>2152.9</v>
      </c>
      <c r="AA50" s="70">
        <f t="shared" si="21"/>
        <v>3586.7299999999996</v>
      </c>
      <c r="AB50" s="70">
        <f>SUM(AB18:AB49)</f>
        <v>5670.36</v>
      </c>
      <c r="AC50" s="70">
        <f t="shared" si="21"/>
        <v>2102.38</v>
      </c>
      <c r="AD50" s="70">
        <f t="shared" si="21"/>
        <v>3567.9799999999996</v>
      </c>
      <c r="AE50" s="6"/>
    </row>
    <row r="52" spans="1:31">
      <c r="B52" s="81" t="s">
        <v>144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2"/>
    </row>
    <row r="53" spans="1:31" ht="33" customHeight="1">
      <c r="B53" s="249" t="s">
        <v>145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</row>
  </sheetData>
  <sortState ref="C7:AE15">
    <sortCondition descending="1" ref="AB7:AB15"/>
  </sortState>
  <mergeCells count="36">
    <mergeCell ref="B53:V53"/>
    <mergeCell ref="C1:AE1"/>
    <mergeCell ref="C2:AE2"/>
    <mergeCell ref="AE4:AE6"/>
    <mergeCell ref="P4:R4"/>
    <mergeCell ref="P5:P6"/>
    <mergeCell ref="Q5:R5"/>
    <mergeCell ref="S4:U4"/>
    <mergeCell ref="S5:S6"/>
    <mergeCell ref="T5:U5"/>
    <mergeCell ref="V4:X4"/>
    <mergeCell ref="V5:V6"/>
    <mergeCell ref="W5:X5"/>
    <mergeCell ref="A17:AE17"/>
    <mergeCell ref="A4:A6"/>
    <mergeCell ref="C4:E4"/>
    <mergeCell ref="G5:G6"/>
    <mergeCell ref="B4:B6"/>
    <mergeCell ref="M4:O4"/>
    <mergeCell ref="M5:M6"/>
    <mergeCell ref="F4:F6"/>
    <mergeCell ref="G4:I4"/>
    <mergeCell ref="J4:L4"/>
    <mergeCell ref="J5:J6"/>
    <mergeCell ref="C5:C6"/>
    <mergeCell ref="D5:D6"/>
    <mergeCell ref="E5:E6"/>
    <mergeCell ref="H5:I5"/>
    <mergeCell ref="K5:L5"/>
    <mergeCell ref="N5:O5"/>
    <mergeCell ref="Y4:AA4"/>
    <mergeCell ref="Y5:Y6"/>
    <mergeCell ref="Z5:AA5"/>
    <mergeCell ref="AB4:AD4"/>
    <mergeCell ref="AB5:AB6"/>
    <mergeCell ref="AC5:AD5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0"/>
  <sheetViews>
    <sheetView topLeftCell="A7" zoomScaleSheetLayoutView="100" workbookViewId="0">
      <selection activeCell="AF4" sqref="A4:XFD36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8" max="8" width="11" customWidth="1"/>
    <col min="9" max="9" width="13.7109375" customWidth="1"/>
    <col min="10" max="10" width="9.140625" hidden="1" customWidth="1" outlineLevel="1"/>
    <col min="11" max="11" width="10" hidden="1" customWidth="1" outlineLevel="1"/>
    <col min="12" max="12" width="11.85546875" hidden="1" customWidth="1" outlineLevel="1"/>
    <col min="13" max="13" width="9.140625" hidden="1" customWidth="1" outlineLevel="1"/>
    <col min="14" max="14" width="10.42578125" hidden="1" customWidth="1" outlineLevel="1"/>
    <col min="15" max="15" width="12.85546875" hidden="1" customWidth="1" outlineLevel="1"/>
    <col min="16" max="16" width="9.140625" hidden="1" customWidth="1" outlineLevel="1"/>
    <col min="17" max="17" width="10.42578125" hidden="1" customWidth="1" outlineLevel="1"/>
    <col min="18" max="27" width="12.85546875" hidden="1" customWidth="1" outlineLevel="1"/>
    <col min="28" max="28" width="12.85546875" customWidth="1" collapsed="1"/>
    <col min="29" max="31" width="12.85546875" customWidth="1"/>
  </cols>
  <sheetData>
    <row r="1" spans="1:31">
      <c r="B1" s="250" t="s">
        <v>13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1" ht="30.75" customHeight="1">
      <c r="B2" s="251" t="s">
        <v>108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31">
      <c r="O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 t="s">
        <v>9</v>
      </c>
    </row>
    <row r="4" spans="1:31" ht="29.25" customHeight="1">
      <c r="A4" s="247" t="s">
        <v>0</v>
      </c>
      <c r="B4" s="247" t="s">
        <v>15</v>
      </c>
      <c r="C4" s="247" t="s">
        <v>1</v>
      </c>
      <c r="D4" s="247"/>
      <c r="E4" s="247"/>
      <c r="F4" s="255" t="s">
        <v>80</v>
      </c>
      <c r="G4" s="244" t="s">
        <v>10</v>
      </c>
      <c r="H4" s="244"/>
      <c r="I4" s="244"/>
      <c r="J4" s="244" t="s">
        <v>11</v>
      </c>
      <c r="K4" s="244"/>
      <c r="L4" s="244"/>
      <c r="M4" s="244" t="s">
        <v>12</v>
      </c>
      <c r="N4" s="244"/>
      <c r="O4" s="244"/>
      <c r="P4" s="253" t="s">
        <v>41</v>
      </c>
      <c r="Q4" s="253"/>
      <c r="R4" s="253"/>
      <c r="S4" s="244" t="s">
        <v>110</v>
      </c>
      <c r="T4" s="244"/>
      <c r="U4" s="244"/>
      <c r="V4" s="244" t="s">
        <v>121</v>
      </c>
      <c r="W4" s="244"/>
      <c r="X4" s="244"/>
      <c r="Y4" s="244" t="s">
        <v>141</v>
      </c>
      <c r="Z4" s="244"/>
      <c r="AA4" s="244"/>
      <c r="AB4" s="244" t="s">
        <v>142</v>
      </c>
      <c r="AC4" s="244"/>
      <c r="AD4" s="244"/>
      <c r="AE4" s="252" t="s">
        <v>109</v>
      </c>
    </row>
    <row r="5" spans="1:31" ht="13.5" customHeight="1">
      <c r="A5" s="247"/>
      <c r="B5" s="247"/>
      <c r="C5" s="247" t="s">
        <v>2</v>
      </c>
      <c r="D5" s="247" t="s">
        <v>3</v>
      </c>
      <c r="E5" s="247" t="s">
        <v>4</v>
      </c>
      <c r="F5" s="255"/>
      <c r="G5" s="245" t="s">
        <v>5</v>
      </c>
      <c r="H5" s="246" t="s">
        <v>14</v>
      </c>
      <c r="I5" s="246"/>
      <c r="J5" s="245" t="s">
        <v>5</v>
      </c>
      <c r="K5" s="246" t="s">
        <v>14</v>
      </c>
      <c r="L5" s="246"/>
      <c r="M5" s="245" t="s">
        <v>5</v>
      </c>
      <c r="N5" s="246" t="s">
        <v>14</v>
      </c>
      <c r="O5" s="246"/>
      <c r="P5" s="245" t="s">
        <v>5</v>
      </c>
      <c r="Q5" s="246" t="s">
        <v>14</v>
      </c>
      <c r="R5" s="246"/>
      <c r="S5" s="245" t="s">
        <v>5</v>
      </c>
      <c r="T5" s="246" t="s">
        <v>14</v>
      </c>
      <c r="U5" s="246"/>
      <c r="V5" s="245" t="s">
        <v>5</v>
      </c>
      <c r="W5" s="246" t="s">
        <v>14</v>
      </c>
      <c r="X5" s="246"/>
      <c r="Y5" s="245" t="s">
        <v>5</v>
      </c>
      <c r="Z5" s="246" t="s">
        <v>14</v>
      </c>
      <c r="AA5" s="246"/>
      <c r="AB5" s="245" t="s">
        <v>5</v>
      </c>
      <c r="AC5" s="246" t="s">
        <v>14</v>
      </c>
      <c r="AD5" s="246"/>
      <c r="AE5" s="252"/>
    </row>
    <row r="6" spans="1:31" ht="38.25">
      <c r="A6" s="247"/>
      <c r="B6" s="247"/>
      <c r="C6" s="247"/>
      <c r="D6" s="247"/>
      <c r="E6" s="247"/>
      <c r="F6" s="255"/>
      <c r="G6" s="245"/>
      <c r="H6" s="80" t="s">
        <v>6</v>
      </c>
      <c r="I6" s="80" t="s">
        <v>7</v>
      </c>
      <c r="J6" s="245"/>
      <c r="K6" s="80" t="s">
        <v>6</v>
      </c>
      <c r="L6" s="80" t="s">
        <v>7</v>
      </c>
      <c r="M6" s="245"/>
      <c r="N6" s="80" t="s">
        <v>6</v>
      </c>
      <c r="O6" s="80" t="s">
        <v>7</v>
      </c>
      <c r="P6" s="245"/>
      <c r="Q6" s="80" t="s">
        <v>6</v>
      </c>
      <c r="R6" s="80" t="s">
        <v>7</v>
      </c>
      <c r="S6" s="245"/>
      <c r="T6" s="24" t="s">
        <v>6</v>
      </c>
      <c r="U6" s="24" t="s">
        <v>7</v>
      </c>
      <c r="V6" s="245"/>
      <c r="W6" s="24" t="s">
        <v>6</v>
      </c>
      <c r="X6" s="24" t="s">
        <v>7</v>
      </c>
      <c r="Y6" s="245"/>
      <c r="Z6" s="24" t="s">
        <v>6</v>
      </c>
      <c r="AA6" s="24" t="s">
        <v>7</v>
      </c>
      <c r="AB6" s="245"/>
      <c r="AC6" s="24" t="s">
        <v>6</v>
      </c>
      <c r="AD6" s="24" t="s">
        <v>7</v>
      </c>
      <c r="AE6" s="252"/>
    </row>
    <row r="7" spans="1:31">
      <c r="A7" s="78">
        <v>1</v>
      </c>
      <c r="B7" s="78" t="s">
        <v>43</v>
      </c>
      <c r="C7" s="83" t="s">
        <v>45</v>
      </c>
      <c r="D7" s="83">
        <v>12</v>
      </c>
      <c r="E7" s="83"/>
      <c r="F7" s="83">
        <v>96</v>
      </c>
      <c r="G7" s="45">
        <f t="shared" ref="G7:G12" si="0">H7+I7</f>
        <v>3892.29</v>
      </c>
      <c r="H7" s="45">
        <f>1080.6+536.96</f>
        <v>1617.56</v>
      </c>
      <c r="I7" s="45">
        <f>1477.1+975.78-178.15</f>
        <v>2274.73</v>
      </c>
      <c r="J7" s="45">
        <f t="shared" ref="J7:J12" si="1">K7+L7</f>
        <v>4279.6399999999994</v>
      </c>
      <c r="K7" s="45">
        <f>1052.5+625.81</f>
        <v>1678.31</v>
      </c>
      <c r="L7" s="45">
        <f>1332.7+1268.63</f>
        <v>2601.33</v>
      </c>
      <c r="M7" s="45">
        <f t="shared" ref="M7:M12" si="2">N7+O7</f>
        <v>4040.22</v>
      </c>
      <c r="N7" s="45">
        <f>446+1220.85</f>
        <v>1666.85</v>
      </c>
      <c r="O7" s="45">
        <f>1327.8+1045.57</f>
        <v>2373.37</v>
      </c>
      <c r="P7" s="45">
        <f t="shared" ref="P7:P12" si="3">Q7+R7</f>
        <v>3944.2999999999997</v>
      </c>
      <c r="Q7" s="45">
        <f>1280.23+442.6</f>
        <v>1722.83</v>
      </c>
      <c r="R7" s="45">
        <f>989.88+1294.6-63.01</f>
        <v>2221.4699999999998</v>
      </c>
      <c r="S7" s="6">
        <f t="shared" ref="S7:S12" si="4">T7+U7</f>
        <v>4048.14</v>
      </c>
      <c r="T7" s="6">
        <f>1359.21+442.6</f>
        <v>1801.81</v>
      </c>
      <c r="U7" s="6">
        <f>954.73+1291.6</f>
        <v>2246.33</v>
      </c>
      <c r="V7" s="6">
        <f t="shared" ref="V7:V12" si="5">W7+X7</f>
        <v>3934.58</v>
      </c>
      <c r="W7" s="6">
        <v>1728.01</v>
      </c>
      <c r="X7" s="6">
        <v>2206.5700000000002</v>
      </c>
      <c r="Y7" s="6">
        <f t="shared" ref="Y7:Y17" si="6">Z7+AA7</f>
        <v>3734.62</v>
      </c>
      <c r="Z7" s="6">
        <v>1661.35</v>
      </c>
      <c r="AA7" s="6">
        <v>2073.27</v>
      </c>
      <c r="AB7" s="85">
        <f t="shared" ref="AB7:AB17" si="7">AC7+AD7</f>
        <v>4034.44</v>
      </c>
      <c r="AC7" s="85">
        <v>1754.29</v>
      </c>
      <c r="AD7" s="85">
        <f>2136.96+143.19</f>
        <v>2280.15</v>
      </c>
      <c r="AE7" s="85">
        <f t="shared" ref="AE7:AE17" si="8">AB7/F7</f>
        <v>42.025416666666665</v>
      </c>
    </row>
    <row r="8" spans="1:31">
      <c r="A8" s="78">
        <f>A7+1</f>
        <v>2</v>
      </c>
      <c r="B8" s="78" t="s">
        <v>43</v>
      </c>
      <c r="C8" s="77" t="s">
        <v>48</v>
      </c>
      <c r="D8" s="77">
        <v>1</v>
      </c>
      <c r="E8" s="77"/>
      <c r="F8" s="77">
        <v>120</v>
      </c>
      <c r="G8" s="45">
        <f t="shared" si="0"/>
        <v>1342.79</v>
      </c>
      <c r="H8" s="45">
        <f>600.03+168.83</f>
        <v>768.86</v>
      </c>
      <c r="I8" s="45">
        <v>573.92999999999995</v>
      </c>
      <c r="J8" s="45">
        <f t="shared" si="1"/>
        <v>1367.36</v>
      </c>
      <c r="K8" s="45">
        <v>692.56</v>
      </c>
      <c r="L8" s="45">
        <v>674.8</v>
      </c>
      <c r="M8" s="45">
        <f t="shared" si="2"/>
        <v>1274.31</v>
      </c>
      <c r="N8" s="45">
        <v>752.86</v>
      </c>
      <c r="O8" s="45">
        <f>646.74-125.29</f>
        <v>521.45000000000005</v>
      </c>
      <c r="P8" s="45">
        <f t="shared" si="3"/>
        <v>1264.8699999999999</v>
      </c>
      <c r="Q8" s="45">
        <v>761.02</v>
      </c>
      <c r="R8" s="45">
        <v>503.85</v>
      </c>
      <c r="S8" s="6">
        <f t="shared" si="4"/>
        <v>1438.01</v>
      </c>
      <c r="T8" s="6">
        <v>882.43</v>
      </c>
      <c r="U8" s="6">
        <v>555.58000000000004</v>
      </c>
      <c r="V8" s="6">
        <f t="shared" si="5"/>
        <v>1579.69</v>
      </c>
      <c r="W8" s="6">
        <v>919.41</v>
      </c>
      <c r="X8" s="6">
        <f>741.44-81.16</f>
        <v>660.28000000000009</v>
      </c>
      <c r="Y8" s="6">
        <f t="shared" si="6"/>
        <v>1520.96</v>
      </c>
      <c r="Z8" s="6">
        <f>742.15+76.11</f>
        <v>818.26</v>
      </c>
      <c r="AA8" s="6">
        <v>702.7</v>
      </c>
      <c r="AB8" s="6">
        <f t="shared" si="7"/>
        <v>1836.26</v>
      </c>
      <c r="AC8" s="6">
        <f>891.13+19.81</f>
        <v>910.93999999999994</v>
      </c>
      <c r="AD8" s="6">
        <v>925.32</v>
      </c>
      <c r="AE8" s="45">
        <f t="shared" si="8"/>
        <v>15.302166666666666</v>
      </c>
    </row>
    <row r="9" spans="1:31">
      <c r="A9" s="78">
        <f t="shared" ref="A9:A35" si="9">A8+1</f>
        <v>3</v>
      </c>
      <c r="B9" s="78" t="s">
        <v>43</v>
      </c>
      <c r="C9" s="77" t="s">
        <v>46</v>
      </c>
      <c r="D9" s="77">
        <v>34</v>
      </c>
      <c r="E9" s="77"/>
      <c r="F9" s="77">
        <v>84</v>
      </c>
      <c r="G9" s="45">
        <f t="shared" si="0"/>
        <v>0</v>
      </c>
      <c r="H9" s="45">
        <v>0</v>
      </c>
      <c r="I9" s="45">
        <v>0</v>
      </c>
      <c r="J9" s="45">
        <f t="shared" si="1"/>
        <v>0</v>
      </c>
      <c r="K9" s="45">
        <v>0</v>
      </c>
      <c r="L9" s="45">
        <v>0</v>
      </c>
      <c r="M9" s="45">
        <f t="shared" si="2"/>
        <v>0</v>
      </c>
      <c r="N9" s="45">
        <v>0</v>
      </c>
      <c r="O9" s="45">
        <v>0</v>
      </c>
      <c r="P9" s="45">
        <f t="shared" si="3"/>
        <v>476.5</v>
      </c>
      <c r="Q9" s="45">
        <v>259.27</v>
      </c>
      <c r="R9" s="45">
        <v>217.23</v>
      </c>
      <c r="S9" s="6">
        <f t="shared" si="4"/>
        <v>655.85</v>
      </c>
      <c r="T9" s="6">
        <v>347.67</v>
      </c>
      <c r="U9" s="6">
        <v>308.18</v>
      </c>
      <c r="V9" s="6">
        <f t="shared" si="5"/>
        <v>801.32999999999993</v>
      </c>
      <c r="W9" s="6">
        <v>363.76</v>
      </c>
      <c r="X9" s="6">
        <v>437.57</v>
      </c>
      <c r="Y9" s="6">
        <f t="shared" si="6"/>
        <v>922.36999999999989</v>
      </c>
      <c r="Z9" s="6">
        <v>364.05</v>
      </c>
      <c r="AA9" s="6">
        <f>633.3-74.98</f>
        <v>558.31999999999994</v>
      </c>
      <c r="AB9" s="6">
        <f t="shared" si="7"/>
        <v>1065.8499999999999</v>
      </c>
      <c r="AC9" s="6">
        <v>437.72</v>
      </c>
      <c r="AD9" s="6">
        <v>628.13</v>
      </c>
      <c r="AE9" s="45">
        <f t="shared" si="8"/>
        <v>12.688690476190475</v>
      </c>
    </row>
    <row r="10" spans="1:31">
      <c r="A10" s="78">
        <f t="shared" si="9"/>
        <v>4</v>
      </c>
      <c r="B10" s="78" t="s">
        <v>43</v>
      </c>
      <c r="C10" s="77" t="s">
        <v>47</v>
      </c>
      <c r="D10" s="77">
        <v>17</v>
      </c>
      <c r="E10" s="77" t="s">
        <v>21</v>
      </c>
      <c r="F10" s="77">
        <v>40</v>
      </c>
      <c r="G10" s="45">
        <f t="shared" si="0"/>
        <v>800.23</v>
      </c>
      <c r="H10" s="45">
        <f>213.6+249.5</f>
        <v>463.1</v>
      </c>
      <c r="I10" s="45">
        <f>96.3+240.83</f>
        <v>337.13</v>
      </c>
      <c r="J10" s="45">
        <f t="shared" si="1"/>
        <v>763.6</v>
      </c>
      <c r="K10" s="45">
        <f>110.7+280.26+17.55</f>
        <v>408.51</v>
      </c>
      <c r="L10" s="45">
        <f>94.9+260.19</f>
        <v>355.09000000000003</v>
      </c>
      <c r="M10" s="45">
        <f t="shared" si="2"/>
        <v>709.74</v>
      </c>
      <c r="N10" s="45">
        <f>109.6+299.4</f>
        <v>409</v>
      </c>
      <c r="O10" s="45">
        <f>94.9+205.84</f>
        <v>300.74</v>
      </c>
      <c r="P10" s="45">
        <f t="shared" si="3"/>
        <v>746.23</v>
      </c>
      <c r="Q10" s="45">
        <f>330.66+71.4+50</f>
        <v>452.06000000000006</v>
      </c>
      <c r="R10" s="45">
        <f>212.97+81.2</f>
        <v>294.17</v>
      </c>
      <c r="S10" s="6">
        <f t="shared" si="4"/>
        <v>779.3</v>
      </c>
      <c r="T10" s="6">
        <f>403.24+71.4</f>
        <v>474.64</v>
      </c>
      <c r="U10" s="6">
        <f>223.46+81.2</f>
        <v>304.66000000000003</v>
      </c>
      <c r="V10" s="6">
        <f t="shared" si="5"/>
        <v>808.39</v>
      </c>
      <c r="W10" s="6">
        <v>495.43</v>
      </c>
      <c r="X10" s="6">
        <v>312.95999999999998</v>
      </c>
      <c r="Y10" s="6">
        <f t="shared" si="6"/>
        <v>842.09</v>
      </c>
      <c r="Z10" s="6">
        <v>465.97</v>
      </c>
      <c r="AA10" s="6">
        <v>376.12</v>
      </c>
      <c r="AB10" s="6">
        <f t="shared" si="7"/>
        <v>944.9</v>
      </c>
      <c r="AC10" s="6">
        <v>521.87</v>
      </c>
      <c r="AD10" s="6">
        <v>423.03</v>
      </c>
      <c r="AE10" s="45">
        <f t="shared" si="8"/>
        <v>23.622499999999999</v>
      </c>
    </row>
    <row r="11" spans="1:31">
      <c r="A11" s="78">
        <f t="shared" si="9"/>
        <v>5</v>
      </c>
      <c r="B11" s="78" t="s">
        <v>43</v>
      </c>
      <c r="C11" s="77" t="s">
        <v>42</v>
      </c>
      <c r="D11" s="77">
        <v>20</v>
      </c>
      <c r="E11" s="77"/>
      <c r="F11" s="77">
        <v>72</v>
      </c>
      <c r="G11" s="45">
        <f t="shared" si="0"/>
        <v>0</v>
      </c>
      <c r="H11" s="45">
        <v>0</v>
      </c>
      <c r="I11" s="45">
        <v>0</v>
      </c>
      <c r="J11" s="45">
        <f t="shared" si="1"/>
        <v>440.78999999999996</v>
      </c>
      <c r="K11" s="45">
        <v>234.09</v>
      </c>
      <c r="L11" s="45">
        <v>206.7</v>
      </c>
      <c r="M11" s="45">
        <f t="shared" si="2"/>
        <v>501.25</v>
      </c>
      <c r="N11" s="45">
        <v>258.64</v>
      </c>
      <c r="O11" s="45">
        <v>242.61</v>
      </c>
      <c r="P11" s="45">
        <f t="shared" si="3"/>
        <v>544.82999999999993</v>
      </c>
      <c r="Q11" s="45">
        <f>257.28+39.6</f>
        <v>296.88</v>
      </c>
      <c r="R11" s="45">
        <v>247.95</v>
      </c>
      <c r="S11" s="6">
        <f t="shared" si="4"/>
        <v>590.58999999999992</v>
      </c>
      <c r="T11" s="6">
        <f>266.58+37.15</f>
        <v>303.72999999999996</v>
      </c>
      <c r="U11" s="6">
        <v>286.86</v>
      </c>
      <c r="V11" s="6">
        <f t="shared" si="5"/>
        <v>585.16</v>
      </c>
      <c r="W11" s="6">
        <v>278.51</v>
      </c>
      <c r="X11" s="6">
        <v>306.64999999999998</v>
      </c>
      <c r="Y11" s="6">
        <f t="shared" si="6"/>
        <v>632.75</v>
      </c>
      <c r="Z11" s="6">
        <v>291.26</v>
      </c>
      <c r="AA11" s="6">
        <v>341.49</v>
      </c>
      <c r="AB11" s="6">
        <f t="shared" si="7"/>
        <v>750.6</v>
      </c>
      <c r="AC11" s="6">
        <v>360.49</v>
      </c>
      <c r="AD11" s="6">
        <v>390.11</v>
      </c>
      <c r="AE11" s="45">
        <f t="shared" si="8"/>
        <v>10.425000000000001</v>
      </c>
    </row>
    <row r="12" spans="1:31">
      <c r="A12" s="78">
        <f t="shared" si="9"/>
        <v>6</v>
      </c>
      <c r="B12" s="78" t="s">
        <v>43</v>
      </c>
      <c r="C12" s="77" t="s">
        <v>50</v>
      </c>
      <c r="D12" s="77">
        <v>29</v>
      </c>
      <c r="E12" s="77"/>
      <c r="F12" s="77">
        <v>73</v>
      </c>
      <c r="G12" s="45">
        <f t="shared" si="0"/>
        <v>0</v>
      </c>
      <c r="H12" s="45">
        <v>0</v>
      </c>
      <c r="I12" s="45">
        <v>0</v>
      </c>
      <c r="J12" s="45">
        <f t="shared" si="1"/>
        <v>0</v>
      </c>
      <c r="K12" s="45">
        <v>0</v>
      </c>
      <c r="L12" s="45">
        <v>0</v>
      </c>
      <c r="M12" s="45">
        <f t="shared" si="2"/>
        <v>0</v>
      </c>
      <c r="N12" s="45">
        <v>0</v>
      </c>
      <c r="O12" s="45">
        <v>0</v>
      </c>
      <c r="P12" s="45">
        <f t="shared" si="3"/>
        <v>102.5</v>
      </c>
      <c r="Q12" s="45">
        <v>63.81</v>
      </c>
      <c r="R12" s="45">
        <v>38.69</v>
      </c>
      <c r="S12" s="6">
        <f t="shared" si="4"/>
        <v>303.03999999999996</v>
      </c>
      <c r="T12" s="6">
        <v>160.84</v>
      </c>
      <c r="U12" s="6">
        <v>142.19999999999999</v>
      </c>
      <c r="V12" s="6">
        <f t="shared" si="5"/>
        <v>463.92</v>
      </c>
      <c r="W12" s="6">
        <v>243.02</v>
      </c>
      <c r="X12" s="6">
        <v>220.9</v>
      </c>
      <c r="Y12" s="6">
        <f t="shared" si="6"/>
        <v>566.4</v>
      </c>
      <c r="Z12" s="6">
        <v>312.93</v>
      </c>
      <c r="AA12" s="6">
        <v>253.47</v>
      </c>
      <c r="AB12" s="6">
        <f t="shared" si="7"/>
        <v>714.8</v>
      </c>
      <c r="AC12" s="6">
        <v>424.02</v>
      </c>
      <c r="AD12" s="6">
        <v>290.77999999999997</v>
      </c>
      <c r="AE12" s="45">
        <f t="shared" si="8"/>
        <v>9.7917808219178077</v>
      </c>
    </row>
    <row r="13" spans="1:31">
      <c r="A13" s="78">
        <f t="shared" si="9"/>
        <v>7</v>
      </c>
      <c r="B13" s="78" t="s">
        <v>43</v>
      </c>
      <c r="C13" s="77" t="s">
        <v>62</v>
      </c>
      <c r="D13" s="77">
        <v>10</v>
      </c>
      <c r="E13" s="77"/>
      <c r="F13" s="77">
        <v>91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"/>
      <c r="T13" s="6"/>
      <c r="U13" s="6"/>
      <c r="V13" s="6"/>
      <c r="W13" s="6"/>
      <c r="X13" s="6"/>
      <c r="Y13" s="6">
        <f t="shared" si="6"/>
        <v>0</v>
      </c>
      <c r="Z13" s="6">
        <v>0</v>
      </c>
      <c r="AA13" s="6">
        <v>0</v>
      </c>
      <c r="AB13" s="6">
        <f t="shared" si="7"/>
        <v>677.79</v>
      </c>
      <c r="AC13" s="6">
        <v>356.9</v>
      </c>
      <c r="AD13" s="6">
        <v>320.89</v>
      </c>
      <c r="AE13" s="45">
        <f t="shared" si="8"/>
        <v>7.4482417582417577</v>
      </c>
    </row>
    <row r="14" spans="1:31">
      <c r="A14" s="78">
        <f t="shared" si="9"/>
        <v>8</v>
      </c>
      <c r="B14" s="78" t="s">
        <v>43</v>
      </c>
      <c r="C14" s="77" t="s">
        <v>46</v>
      </c>
      <c r="D14" s="77">
        <v>16</v>
      </c>
      <c r="E14" s="77"/>
      <c r="F14" s="77">
        <v>42</v>
      </c>
      <c r="G14" s="45">
        <f>H14+I14</f>
        <v>548.79</v>
      </c>
      <c r="H14" s="45">
        <f>62.4+200.21</f>
        <v>262.61</v>
      </c>
      <c r="I14" s="45">
        <f>65.1+221.08</f>
        <v>286.18</v>
      </c>
      <c r="J14" s="45">
        <f>K14+L14</f>
        <v>572.63000000000011</v>
      </c>
      <c r="K14" s="45">
        <f>35.8+246.62</f>
        <v>282.42</v>
      </c>
      <c r="L14" s="45">
        <f>65.1+225.11</f>
        <v>290.21000000000004</v>
      </c>
      <c r="M14" s="45">
        <f>N14+O14</f>
        <v>524.24</v>
      </c>
      <c r="N14" s="45">
        <f>8.4+242.38+80.25</f>
        <v>331.03</v>
      </c>
      <c r="O14" s="45">
        <f>32.7+160.51</f>
        <v>193.20999999999998</v>
      </c>
      <c r="P14" s="45">
        <f>Q14+R14</f>
        <v>568.12</v>
      </c>
      <c r="Q14" s="45">
        <f>358.48</f>
        <v>358.48</v>
      </c>
      <c r="R14" s="45">
        <f>186.44+23.2</f>
        <v>209.64</v>
      </c>
      <c r="S14" s="6">
        <f>T14+U14</f>
        <v>505.06</v>
      </c>
      <c r="T14" s="6">
        <v>286.43</v>
      </c>
      <c r="U14" s="6">
        <f>195.43+23.2</f>
        <v>218.63</v>
      </c>
      <c r="V14" s="6">
        <f>W14+X14</f>
        <v>512.06999999999994</v>
      </c>
      <c r="W14" s="6">
        <v>261.76</v>
      </c>
      <c r="X14" s="6">
        <v>250.31</v>
      </c>
      <c r="Y14" s="6">
        <f t="shared" si="6"/>
        <v>482.38</v>
      </c>
      <c r="Z14" s="6">
        <v>236.98</v>
      </c>
      <c r="AA14" s="6">
        <v>245.4</v>
      </c>
      <c r="AB14" s="6">
        <f t="shared" si="7"/>
        <v>649.83000000000004</v>
      </c>
      <c r="AC14" s="6">
        <v>311.47000000000003</v>
      </c>
      <c r="AD14" s="6">
        <v>338.36</v>
      </c>
      <c r="AE14" s="45">
        <f t="shared" si="8"/>
        <v>15.472142857142858</v>
      </c>
    </row>
    <row r="15" spans="1:31">
      <c r="A15" s="78">
        <f t="shared" si="9"/>
        <v>9</v>
      </c>
      <c r="B15" s="78" t="s">
        <v>43</v>
      </c>
      <c r="C15" s="77" t="s">
        <v>49</v>
      </c>
      <c r="D15" s="77">
        <v>11</v>
      </c>
      <c r="E15" s="77"/>
      <c r="F15" s="77">
        <v>60</v>
      </c>
      <c r="G15" s="45">
        <f>H15+I15</f>
        <v>0</v>
      </c>
      <c r="H15" s="45">
        <v>0</v>
      </c>
      <c r="I15" s="45">
        <v>0</v>
      </c>
      <c r="J15" s="45">
        <f>K15+L15</f>
        <v>361.36</v>
      </c>
      <c r="K15" s="45">
        <v>173.05</v>
      </c>
      <c r="L15" s="45">
        <v>188.31</v>
      </c>
      <c r="M15" s="45">
        <f>N15+O15</f>
        <v>325.73</v>
      </c>
      <c r="N15" s="45">
        <v>191.41</v>
      </c>
      <c r="O15" s="45">
        <v>134.32</v>
      </c>
      <c r="P15" s="45">
        <f>Q15+R15</f>
        <v>324.11</v>
      </c>
      <c r="Q15" s="45">
        <v>198.77</v>
      </c>
      <c r="R15" s="45">
        <v>125.34</v>
      </c>
      <c r="S15" s="6">
        <f>T15+U15</f>
        <v>606.51</v>
      </c>
      <c r="T15" s="6">
        <v>434.72</v>
      </c>
      <c r="U15" s="6">
        <v>171.79</v>
      </c>
      <c r="V15" s="6">
        <f>W15+X15</f>
        <v>598.38</v>
      </c>
      <c r="W15" s="6">
        <f>248.22+140.19</f>
        <v>388.40999999999997</v>
      </c>
      <c r="X15" s="6">
        <v>209.97</v>
      </c>
      <c r="Y15" s="6">
        <f t="shared" si="6"/>
        <v>483.67</v>
      </c>
      <c r="Z15" s="6">
        <v>221.31</v>
      </c>
      <c r="AA15" s="6">
        <v>262.36</v>
      </c>
      <c r="AB15" s="6">
        <f t="shared" si="7"/>
        <v>647.06999999999994</v>
      </c>
      <c r="AC15" s="6">
        <v>311.19</v>
      </c>
      <c r="AD15" s="6">
        <v>335.88</v>
      </c>
      <c r="AE15" s="45">
        <f t="shared" si="8"/>
        <v>10.7845</v>
      </c>
    </row>
    <row r="16" spans="1:31">
      <c r="A16" s="78">
        <f t="shared" si="9"/>
        <v>10</v>
      </c>
      <c r="B16" s="78" t="s">
        <v>43</v>
      </c>
      <c r="C16" s="77" t="s">
        <v>45</v>
      </c>
      <c r="D16" s="77">
        <v>33</v>
      </c>
      <c r="E16" s="77"/>
      <c r="F16" s="77">
        <v>60</v>
      </c>
      <c r="G16" s="45">
        <f>H16+I16</f>
        <v>719.35</v>
      </c>
      <c r="H16" s="45">
        <f>123.7+215.18</f>
        <v>338.88</v>
      </c>
      <c r="I16" s="45">
        <f>56.6+323.87</f>
        <v>380.47</v>
      </c>
      <c r="J16" s="45">
        <f>K16+L16</f>
        <v>663.06</v>
      </c>
      <c r="K16" s="45">
        <f>2.9+321.43</f>
        <v>324.33</v>
      </c>
      <c r="L16" s="45">
        <f>17.3+273.62+47.81</f>
        <v>338.73</v>
      </c>
      <c r="M16" s="45">
        <f>N16+O16</f>
        <v>568.65</v>
      </c>
      <c r="N16" s="45">
        <f>2.9+286.39+50</f>
        <v>339.28999999999996</v>
      </c>
      <c r="O16" s="45">
        <f>17.3+212.06</f>
        <v>229.36</v>
      </c>
      <c r="P16" s="45">
        <f>Q16+R16</f>
        <v>596.39</v>
      </c>
      <c r="Q16" s="45">
        <f>344.89+2.9</f>
        <v>347.78999999999996</v>
      </c>
      <c r="R16" s="45">
        <f>231.4+17.2</f>
        <v>248.6</v>
      </c>
      <c r="S16" s="6">
        <f>T16+U16</f>
        <v>504.13</v>
      </c>
      <c r="T16" s="6">
        <f>364.49+3</f>
        <v>367.49</v>
      </c>
      <c r="U16" s="6">
        <f>119.34+17.3</f>
        <v>136.64000000000001</v>
      </c>
      <c r="V16" s="6">
        <f>W16+X16</f>
        <v>452.91999999999996</v>
      </c>
      <c r="W16" s="6">
        <v>347.2</v>
      </c>
      <c r="X16" s="6">
        <v>105.72</v>
      </c>
      <c r="Y16" s="6">
        <f t="shared" si="6"/>
        <v>438.13</v>
      </c>
      <c r="Z16" s="6">
        <v>332.97</v>
      </c>
      <c r="AA16" s="6">
        <v>105.16</v>
      </c>
      <c r="AB16" s="6">
        <f t="shared" si="7"/>
        <v>577.14</v>
      </c>
      <c r="AC16" s="6">
        <v>423.72</v>
      </c>
      <c r="AD16" s="6">
        <v>153.41999999999999</v>
      </c>
      <c r="AE16" s="45">
        <f t="shared" si="8"/>
        <v>9.6189999999999998</v>
      </c>
    </row>
    <row r="17" spans="1:31">
      <c r="A17" s="78">
        <v>11</v>
      </c>
      <c r="B17" s="78" t="s">
        <v>43</v>
      </c>
      <c r="C17" s="77" t="s">
        <v>44</v>
      </c>
      <c r="D17" s="77">
        <v>44</v>
      </c>
      <c r="E17" s="77"/>
      <c r="F17" s="77">
        <v>31</v>
      </c>
      <c r="G17" s="45">
        <f>H17+I17</f>
        <v>280.32</v>
      </c>
      <c r="H17" s="45">
        <f>18.5+103.61</f>
        <v>122.11</v>
      </c>
      <c r="I17" s="45">
        <f>30.8+127.41</f>
        <v>158.21</v>
      </c>
      <c r="J17" s="45">
        <f>K17+L17</f>
        <v>293.34000000000003</v>
      </c>
      <c r="K17" s="45">
        <f>18.5+105.95</f>
        <v>124.45</v>
      </c>
      <c r="L17" s="45">
        <f>30.8+138.09</f>
        <v>168.89000000000001</v>
      </c>
      <c r="M17" s="45">
        <f>N17+O17</f>
        <v>293.72000000000003</v>
      </c>
      <c r="N17" s="45">
        <f>18.5+115.11</f>
        <v>133.61000000000001</v>
      </c>
      <c r="O17" s="45">
        <f>30.8+129.31</f>
        <v>160.11000000000001</v>
      </c>
      <c r="P17" s="45">
        <f>Q17+R17</f>
        <v>274.97000000000003</v>
      </c>
      <c r="Q17" s="45">
        <f>112.65+18.5</f>
        <v>131.15</v>
      </c>
      <c r="R17" s="45">
        <f>113.02+30.8</f>
        <v>143.82</v>
      </c>
      <c r="S17" s="6">
        <f>T17+U17</f>
        <v>307</v>
      </c>
      <c r="T17" s="6">
        <f>118.89+18.5</f>
        <v>137.38999999999999</v>
      </c>
      <c r="U17" s="6">
        <f>138.81+30.8</f>
        <v>169.61</v>
      </c>
      <c r="V17" s="6">
        <f>W17+X17</f>
        <v>316.98</v>
      </c>
      <c r="W17" s="6">
        <v>133.13</v>
      </c>
      <c r="X17" s="6">
        <v>183.85</v>
      </c>
      <c r="Y17" s="6">
        <f t="shared" si="6"/>
        <v>352.07</v>
      </c>
      <c r="Z17" s="6">
        <v>144.97999999999999</v>
      </c>
      <c r="AA17" s="6">
        <v>207.09</v>
      </c>
      <c r="AB17" s="6">
        <f t="shared" si="7"/>
        <v>339.65</v>
      </c>
      <c r="AC17" s="6">
        <v>133.13999999999999</v>
      </c>
      <c r="AD17" s="6">
        <v>206.51</v>
      </c>
      <c r="AE17" s="45">
        <f t="shared" si="8"/>
        <v>10.956451612903225</v>
      </c>
    </row>
    <row r="18" spans="1:31">
      <c r="A18" s="78"/>
      <c r="B18" s="78" t="s">
        <v>8</v>
      </c>
      <c r="C18" s="77"/>
      <c r="D18" s="77"/>
      <c r="E18" s="77"/>
      <c r="F18" s="67">
        <f>SUM(F7:F17)</f>
        <v>769</v>
      </c>
      <c r="G18" s="50">
        <f t="shared" ref="G18:Z18" si="10">SUM(G7:G16)</f>
        <v>7303.45</v>
      </c>
      <c r="H18" s="50">
        <f t="shared" si="10"/>
        <v>3451.01</v>
      </c>
      <c r="I18" s="50">
        <f t="shared" si="10"/>
        <v>3852.4399999999996</v>
      </c>
      <c r="J18" s="50">
        <f t="shared" si="10"/>
        <v>8448.4399999999987</v>
      </c>
      <c r="K18" s="50">
        <f t="shared" si="10"/>
        <v>3793.2700000000004</v>
      </c>
      <c r="L18" s="50">
        <f t="shared" si="10"/>
        <v>4655.17</v>
      </c>
      <c r="M18" s="50">
        <f t="shared" si="10"/>
        <v>7944.1399999999994</v>
      </c>
      <c r="N18" s="50">
        <f t="shared" si="10"/>
        <v>3949.08</v>
      </c>
      <c r="O18" s="50">
        <f t="shared" si="10"/>
        <v>3995.06</v>
      </c>
      <c r="P18" s="50">
        <f t="shared" si="10"/>
        <v>8567.8499999999985</v>
      </c>
      <c r="Q18" s="50">
        <f t="shared" si="10"/>
        <v>4460.91</v>
      </c>
      <c r="R18" s="50">
        <f t="shared" si="10"/>
        <v>4106.9399999999996</v>
      </c>
      <c r="S18" s="50">
        <f t="shared" si="10"/>
        <v>9430.6299999999992</v>
      </c>
      <c r="T18" s="50">
        <f t="shared" si="10"/>
        <v>5059.76</v>
      </c>
      <c r="U18" s="50">
        <f t="shared" si="10"/>
        <v>4370.87</v>
      </c>
      <c r="V18" s="50">
        <f t="shared" si="10"/>
        <v>9736.44</v>
      </c>
      <c r="W18" s="50">
        <f t="shared" si="10"/>
        <v>5025.5099999999993</v>
      </c>
      <c r="X18" s="50">
        <f t="shared" si="10"/>
        <v>4710.9300000000012</v>
      </c>
      <c r="Y18" s="50">
        <f t="shared" si="10"/>
        <v>9623.369999999999</v>
      </c>
      <c r="Z18" s="50">
        <f t="shared" si="10"/>
        <v>4705.0800000000008</v>
      </c>
      <c r="AA18" s="50">
        <f>SUM(AA7:AA16)</f>
        <v>4918.2899999999991</v>
      </c>
      <c r="AB18" s="50">
        <f>SUM(AB7:AB17)</f>
        <v>12238.329999999998</v>
      </c>
      <c r="AC18" s="50">
        <f>SUM(AC7:AC17)</f>
        <v>5945.75</v>
      </c>
      <c r="AD18" s="50">
        <f>SUM(AD7:AD17)</f>
        <v>6292.58</v>
      </c>
      <c r="AE18" s="45"/>
    </row>
    <row r="19" spans="1:31">
      <c r="A19" s="254" t="s">
        <v>120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</row>
    <row r="20" spans="1:31">
      <c r="A20" s="78">
        <v>1</v>
      </c>
      <c r="B20" s="78" t="s">
        <v>43</v>
      </c>
      <c r="C20" s="77" t="s">
        <v>25</v>
      </c>
      <c r="D20" s="77">
        <v>9</v>
      </c>
      <c r="E20" s="77" t="s">
        <v>21</v>
      </c>
      <c r="F20" s="77">
        <v>5</v>
      </c>
      <c r="G20" s="45">
        <f>H20+I20</f>
        <v>45.71</v>
      </c>
      <c r="H20" s="45">
        <v>17.5</v>
      </c>
      <c r="I20" s="45">
        <v>28.21</v>
      </c>
      <c r="J20" s="45">
        <f>K20+L20</f>
        <v>30.85</v>
      </c>
      <c r="K20" s="45">
        <v>11.5</v>
      </c>
      <c r="L20" s="45">
        <v>19.350000000000001</v>
      </c>
      <c r="M20" s="45">
        <f>N20+O20</f>
        <v>7.74</v>
      </c>
      <c r="N20" s="45">
        <v>6.57</v>
      </c>
      <c r="O20" s="45">
        <v>1.17</v>
      </c>
      <c r="P20" s="45">
        <f>Q20+R20</f>
        <v>16.37</v>
      </c>
      <c r="Q20" s="45">
        <v>13.91</v>
      </c>
      <c r="R20" s="45">
        <v>2.46</v>
      </c>
      <c r="S20" s="6">
        <f>T20+U20</f>
        <v>8.0500000000000007</v>
      </c>
      <c r="T20" s="6">
        <v>7.04</v>
      </c>
      <c r="U20" s="6">
        <v>1.01</v>
      </c>
      <c r="V20" s="6">
        <f>W20+X20</f>
        <v>8.0500000000000007</v>
      </c>
      <c r="W20" s="6">
        <v>7.04</v>
      </c>
      <c r="X20" s="6">
        <v>1.01</v>
      </c>
      <c r="Y20" s="6">
        <f>Z20+AA20</f>
        <v>8.0500000000000007</v>
      </c>
      <c r="Z20" s="6">
        <v>7.04</v>
      </c>
      <c r="AA20" s="6">
        <v>1.01</v>
      </c>
      <c r="AB20" s="6">
        <f>AC20+AD20</f>
        <v>8.0500000000000007</v>
      </c>
      <c r="AC20" s="6">
        <v>7.04</v>
      </c>
      <c r="AD20" s="6">
        <v>1.01</v>
      </c>
      <c r="AE20" s="45">
        <f>AB20/F20</f>
        <v>1.61</v>
      </c>
    </row>
    <row r="21" spans="1:31">
      <c r="A21" s="78">
        <f>A20+1</f>
        <v>2</v>
      </c>
      <c r="B21" s="78" t="s">
        <v>43</v>
      </c>
      <c r="C21" s="77" t="s">
        <v>25</v>
      </c>
      <c r="D21" s="77">
        <v>23</v>
      </c>
      <c r="E21" s="77"/>
      <c r="F21" s="77">
        <v>8</v>
      </c>
      <c r="G21" s="45">
        <f>H21+I21</f>
        <v>58.38</v>
      </c>
      <c r="H21" s="45">
        <f>39.72+13.6</f>
        <v>53.32</v>
      </c>
      <c r="I21" s="45">
        <f>5.06</f>
        <v>5.0599999999999996</v>
      </c>
      <c r="J21" s="45">
        <f>K21+L21</f>
        <v>34.479999999999997</v>
      </c>
      <c r="K21" s="45">
        <f>33.15</f>
        <v>33.15</v>
      </c>
      <c r="L21" s="45">
        <v>1.33</v>
      </c>
      <c r="M21" s="45">
        <f>N21+O21</f>
        <v>18.509999999999998</v>
      </c>
      <c r="N21" s="45">
        <v>17.18</v>
      </c>
      <c r="O21" s="45">
        <v>1.33</v>
      </c>
      <c r="P21" s="45">
        <f>Q21+R21</f>
        <v>16.900000000000002</v>
      </c>
      <c r="Q21" s="45">
        <v>16.05</v>
      </c>
      <c r="R21" s="45">
        <v>0.85</v>
      </c>
      <c r="S21" s="6">
        <f>T21+U21</f>
        <v>7.6</v>
      </c>
      <c r="T21" s="6">
        <f>6.81</f>
        <v>6.81</v>
      </c>
      <c r="U21" s="6">
        <v>0.79</v>
      </c>
      <c r="V21" s="6">
        <f>W21+X21</f>
        <v>1.4100000000000001</v>
      </c>
      <c r="W21" s="6">
        <v>1.02</v>
      </c>
      <c r="X21" s="6">
        <v>0.39</v>
      </c>
      <c r="Y21" s="6">
        <f>Z21+AA21</f>
        <v>1.4100000000000001</v>
      </c>
      <c r="Z21" s="6">
        <v>1.02</v>
      </c>
      <c r="AA21" s="6">
        <v>0.39</v>
      </c>
      <c r="AB21" s="6">
        <f>AC21+AD21</f>
        <v>4.8599999999999994</v>
      </c>
      <c r="AC21" s="6">
        <v>1</v>
      </c>
      <c r="AD21" s="6">
        <v>3.86</v>
      </c>
      <c r="AE21" s="45">
        <f t="shared" ref="AE21:AE34" si="11">AB21/F21</f>
        <v>0.60749999999999993</v>
      </c>
    </row>
    <row r="22" spans="1:31">
      <c r="A22" s="78">
        <f t="shared" si="9"/>
        <v>3</v>
      </c>
      <c r="B22" s="78" t="s">
        <v>43</v>
      </c>
      <c r="C22" s="77" t="s">
        <v>25</v>
      </c>
      <c r="D22" s="77">
        <v>28</v>
      </c>
      <c r="E22" s="77"/>
      <c r="F22" s="77">
        <v>8</v>
      </c>
      <c r="G22" s="45">
        <f t="shared" ref="G22:G35" si="12">H22+I22</f>
        <v>91.54</v>
      </c>
      <c r="H22" s="45">
        <f>67.36+21.6</f>
        <v>88.960000000000008</v>
      </c>
      <c r="I22" s="45">
        <f>2.58</f>
        <v>2.58</v>
      </c>
      <c r="J22" s="45">
        <f t="shared" ref="J22:J35" si="13">K22+L22</f>
        <v>101.29</v>
      </c>
      <c r="K22" s="45">
        <f>77.93+18.7</f>
        <v>96.63000000000001</v>
      </c>
      <c r="L22" s="45">
        <f>4.66</f>
        <v>4.66</v>
      </c>
      <c r="M22" s="45">
        <f t="shared" ref="M22:M35" si="14">N22+O22</f>
        <v>112.59</v>
      </c>
      <c r="N22" s="45">
        <f>89.76+18.7</f>
        <v>108.46000000000001</v>
      </c>
      <c r="O22" s="45">
        <f>4.13</f>
        <v>4.13</v>
      </c>
      <c r="P22" s="45">
        <f t="shared" ref="P22:P35" si="15">Q22+R22</f>
        <v>95.71</v>
      </c>
      <c r="Q22" s="45">
        <f>72.88+18.7</f>
        <v>91.58</v>
      </c>
      <c r="R22" s="45">
        <v>4.13</v>
      </c>
      <c r="S22" s="6">
        <f t="shared" ref="S22:S35" si="16">T22+U22</f>
        <v>91.52</v>
      </c>
      <c r="T22" s="6">
        <f>70.6+17</f>
        <v>87.6</v>
      </c>
      <c r="U22" s="6">
        <v>3.92</v>
      </c>
      <c r="V22" s="6">
        <f t="shared" ref="V22:V35" si="17">W22+X22</f>
        <v>91.52</v>
      </c>
      <c r="W22" s="6">
        <f>70.6+17</f>
        <v>87.6</v>
      </c>
      <c r="X22" s="6">
        <v>3.92</v>
      </c>
      <c r="Y22" s="6">
        <f t="shared" ref="Y22:Y35" si="18">Z22+AA22</f>
        <v>85.9</v>
      </c>
      <c r="Z22" s="6">
        <v>81.98</v>
      </c>
      <c r="AA22" s="6">
        <v>3.92</v>
      </c>
      <c r="AB22" s="6">
        <f t="shared" ref="AB22:AB35" si="19">AC22+AD22</f>
        <v>62.86</v>
      </c>
      <c r="AC22" s="6">
        <v>60.91</v>
      </c>
      <c r="AD22" s="6">
        <v>1.95</v>
      </c>
      <c r="AE22" s="45">
        <f t="shared" si="11"/>
        <v>7.8574999999999999</v>
      </c>
    </row>
    <row r="23" spans="1:31" ht="20.25" customHeight="1">
      <c r="A23" s="78">
        <f t="shared" si="9"/>
        <v>4</v>
      </c>
      <c r="B23" s="78" t="s">
        <v>43</v>
      </c>
      <c r="C23" s="77" t="s">
        <v>25</v>
      </c>
      <c r="D23" s="77">
        <v>11</v>
      </c>
      <c r="E23" s="77"/>
      <c r="F23" s="77">
        <v>27</v>
      </c>
      <c r="G23" s="45">
        <f t="shared" si="12"/>
        <v>67.300000000000011</v>
      </c>
      <c r="H23" s="45">
        <f>43.7</f>
        <v>43.7</v>
      </c>
      <c r="I23" s="45">
        <v>23.6</v>
      </c>
      <c r="J23" s="45">
        <f t="shared" si="13"/>
        <v>67.300000000000011</v>
      </c>
      <c r="K23" s="45">
        <v>43.7</v>
      </c>
      <c r="L23" s="45">
        <v>23.6</v>
      </c>
      <c r="M23" s="45">
        <f t="shared" si="14"/>
        <v>67.300000000000011</v>
      </c>
      <c r="N23" s="45">
        <v>43.7</v>
      </c>
      <c r="O23" s="45">
        <v>23.6</v>
      </c>
      <c r="P23" s="45">
        <f t="shared" si="15"/>
        <v>67.300000000000011</v>
      </c>
      <c r="Q23" s="45">
        <v>43.7</v>
      </c>
      <c r="R23" s="45">
        <v>23.6</v>
      </c>
      <c r="S23" s="6">
        <f t="shared" si="16"/>
        <v>67.300000000000011</v>
      </c>
      <c r="T23" s="6">
        <v>43.7</v>
      </c>
      <c r="U23" s="6">
        <v>23.6</v>
      </c>
      <c r="V23" s="6">
        <f t="shared" si="17"/>
        <v>64.599999999999994</v>
      </c>
      <c r="W23" s="6">
        <v>41</v>
      </c>
      <c r="X23" s="6">
        <v>23.6</v>
      </c>
      <c r="Y23" s="6">
        <f t="shared" si="18"/>
        <v>64.5</v>
      </c>
      <c r="Z23" s="6">
        <v>41</v>
      </c>
      <c r="AA23" s="6">
        <v>23.5</v>
      </c>
      <c r="AB23" s="6">
        <f t="shared" si="19"/>
        <v>64.5</v>
      </c>
      <c r="AC23" s="6">
        <v>41</v>
      </c>
      <c r="AD23" s="6">
        <v>23.5</v>
      </c>
      <c r="AE23" s="45">
        <f t="shared" si="11"/>
        <v>2.3888888888888888</v>
      </c>
    </row>
    <row r="24" spans="1:31" ht="21.75" customHeight="1">
      <c r="A24" s="78">
        <f t="shared" si="9"/>
        <v>5</v>
      </c>
      <c r="B24" s="78" t="s">
        <v>43</v>
      </c>
      <c r="C24" s="77" t="s">
        <v>25</v>
      </c>
      <c r="D24" s="77">
        <v>13</v>
      </c>
      <c r="E24" s="77"/>
      <c r="F24" s="77">
        <v>8</v>
      </c>
      <c r="G24" s="45">
        <f t="shared" si="12"/>
        <v>114</v>
      </c>
      <c r="H24" s="45">
        <f>14.5+44.1</f>
        <v>58.6</v>
      </c>
      <c r="I24" s="45">
        <v>55.4</v>
      </c>
      <c r="J24" s="45">
        <f t="shared" si="13"/>
        <v>114</v>
      </c>
      <c r="K24" s="45">
        <f>14.5+44.1</f>
        <v>58.6</v>
      </c>
      <c r="L24" s="45">
        <v>55.4</v>
      </c>
      <c r="M24" s="45">
        <f t="shared" si="14"/>
        <v>114</v>
      </c>
      <c r="N24" s="45">
        <f>14.5+44.1</f>
        <v>58.6</v>
      </c>
      <c r="O24" s="45">
        <v>55.4</v>
      </c>
      <c r="P24" s="45">
        <f t="shared" si="15"/>
        <v>114</v>
      </c>
      <c r="Q24" s="45">
        <f>14.5+44.1</f>
        <v>58.6</v>
      </c>
      <c r="R24" s="45">
        <v>55.4</v>
      </c>
      <c r="S24" s="6">
        <f t="shared" si="16"/>
        <v>114</v>
      </c>
      <c r="T24" s="6">
        <v>58.6</v>
      </c>
      <c r="U24" s="6">
        <v>55.4</v>
      </c>
      <c r="V24" s="6">
        <f t="shared" si="17"/>
        <v>114</v>
      </c>
      <c r="W24" s="6">
        <v>58.6</v>
      </c>
      <c r="X24" s="6">
        <v>55.4</v>
      </c>
      <c r="Y24" s="6">
        <f t="shared" si="18"/>
        <v>114</v>
      </c>
      <c r="Z24" s="6">
        <v>58.6</v>
      </c>
      <c r="AA24" s="6">
        <v>55.4</v>
      </c>
      <c r="AB24" s="6">
        <f t="shared" si="19"/>
        <v>114</v>
      </c>
      <c r="AC24" s="6">
        <v>58.6</v>
      </c>
      <c r="AD24" s="6">
        <v>55.4</v>
      </c>
      <c r="AE24" s="45">
        <f t="shared" si="11"/>
        <v>14.25</v>
      </c>
    </row>
    <row r="25" spans="1:31" ht="21.75" customHeight="1">
      <c r="A25" s="78">
        <f t="shared" si="9"/>
        <v>6</v>
      </c>
      <c r="B25" s="78" t="s">
        <v>43</v>
      </c>
      <c r="C25" s="77" t="s">
        <v>25</v>
      </c>
      <c r="D25" s="77">
        <v>16</v>
      </c>
      <c r="E25" s="77"/>
      <c r="F25" s="77">
        <v>27</v>
      </c>
      <c r="G25" s="45">
        <f t="shared" si="12"/>
        <v>8.5</v>
      </c>
      <c r="H25" s="45">
        <v>5.0999999999999996</v>
      </c>
      <c r="I25" s="45">
        <v>3.4</v>
      </c>
      <c r="J25" s="45">
        <f t="shared" si="13"/>
        <v>8.5</v>
      </c>
      <c r="K25" s="45">
        <v>5.0999999999999996</v>
      </c>
      <c r="L25" s="45">
        <v>3.4</v>
      </c>
      <c r="M25" s="45">
        <f t="shared" si="14"/>
        <v>8.5</v>
      </c>
      <c r="N25" s="45">
        <v>5.0999999999999996</v>
      </c>
      <c r="O25" s="45">
        <v>3.4</v>
      </c>
      <c r="P25" s="45">
        <f t="shared" si="15"/>
        <v>8.5</v>
      </c>
      <c r="Q25" s="45">
        <v>5.0999999999999996</v>
      </c>
      <c r="R25" s="45">
        <v>3.4</v>
      </c>
      <c r="S25" s="6">
        <f t="shared" si="16"/>
        <v>8.5</v>
      </c>
      <c r="T25" s="6">
        <v>5.0999999999999996</v>
      </c>
      <c r="U25" s="6">
        <v>3.4</v>
      </c>
      <c r="V25" s="6">
        <f t="shared" si="17"/>
        <v>8.5</v>
      </c>
      <c r="W25" s="6">
        <v>5.0999999999999996</v>
      </c>
      <c r="X25" s="6">
        <v>3.4</v>
      </c>
      <c r="Y25" s="6">
        <f t="shared" si="18"/>
        <v>6.1</v>
      </c>
      <c r="Z25" s="6">
        <v>5.0999999999999996</v>
      </c>
      <c r="AA25" s="6">
        <v>1</v>
      </c>
      <c r="AB25" s="6">
        <f t="shared" si="19"/>
        <v>6.1</v>
      </c>
      <c r="AC25" s="6">
        <v>5.0999999999999996</v>
      </c>
      <c r="AD25" s="6">
        <v>1</v>
      </c>
      <c r="AE25" s="45">
        <f t="shared" si="11"/>
        <v>0.22592592592592592</v>
      </c>
    </row>
    <row r="26" spans="1:31" ht="15" customHeight="1">
      <c r="A26" s="78">
        <f t="shared" si="9"/>
        <v>7</v>
      </c>
      <c r="B26" s="78" t="s">
        <v>43</v>
      </c>
      <c r="C26" s="77" t="s">
        <v>25</v>
      </c>
      <c r="D26" s="77">
        <v>19</v>
      </c>
      <c r="E26" s="77"/>
      <c r="F26" s="77">
        <v>8</v>
      </c>
      <c r="G26" s="45">
        <f t="shared" si="12"/>
        <v>15.8</v>
      </c>
      <c r="H26" s="45">
        <f>15+0.8</f>
        <v>15.8</v>
      </c>
      <c r="I26" s="45">
        <v>0</v>
      </c>
      <c r="J26" s="45">
        <f t="shared" si="13"/>
        <v>15.8</v>
      </c>
      <c r="K26" s="45">
        <f>15+0.8</f>
        <v>15.8</v>
      </c>
      <c r="L26" s="45">
        <v>0</v>
      </c>
      <c r="M26" s="45">
        <f t="shared" si="14"/>
        <v>15.8</v>
      </c>
      <c r="N26" s="45">
        <f>15+0.8</f>
        <v>15.8</v>
      </c>
      <c r="O26" s="45">
        <v>0</v>
      </c>
      <c r="P26" s="45">
        <f t="shared" si="15"/>
        <v>15.8</v>
      </c>
      <c r="Q26" s="45">
        <f>15+0.8</f>
        <v>15.8</v>
      </c>
      <c r="R26" s="45"/>
      <c r="S26" s="6">
        <f t="shared" si="16"/>
        <v>6.1</v>
      </c>
      <c r="T26" s="6">
        <v>6.1</v>
      </c>
      <c r="U26" s="6"/>
      <c r="V26" s="6">
        <f t="shared" si="17"/>
        <v>6.1</v>
      </c>
      <c r="W26" s="6">
        <v>6.1</v>
      </c>
      <c r="X26" s="6"/>
      <c r="Y26" s="6">
        <f t="shared" si="18"/>
        <v>6.1</v>
      </c>
      <c r="Z26" s="6">
        <v>6.1</v>
      </c>
      <c r="AA26" s="6"/>
      <c r="AB26" s="6">
        <f t="shared" si="19"/>
        <v>6.1</v>
      </c>
      <c r="AC26" s="6">
        <v>6.1</v>
      </c>
      <c r="AD26" s="6"/>
      <c r="AE26" s="45">
        <f t="shared" si="11"/>
        <v>0.76249999999999996</v>
      </c>
    </row>
    <row r="27" spans="1:31">
      <c r="A27" s="78">
        <f t="shared" si="9"/>
        <v>8</v>
      </c>
      <c r="B27" s="78" t="s">
        <v>43</v>
      </c>
      <c r="C27" s="77" t="s">
        <v>25</v>
      </c>
      <c r="D27" s="77">
        <v>21</v>
      </c>
      <c r="E27" s="77"/>
      <c r="F27" s="77">
        <v>8</v>
      </c>
      <c r="G27" s="45">
        <f t="shared" si="12"/>
        <v>29.4</v>
      </c>
      <c r="H27" s="45">
        <f>18.7+10.7</f>
        <v>29.4</v>
      </c>
      <c r="I27" s="45">
        <v>0</v>
      </c>
      <c r="J27" s="45">
        <f t="shared" si="13"/>
        <v>29.4</v>
      </c>
      <c r="K27" s="45">
        <f>18.7+10.7</f>
        <v>29.4</v>
      </c>
      <c r="L27" s="45">
        <v>0</v>
      </c>
      <c r="M27" s="45">
        <f t="shared" si="14"/>
        <v>29.4</v>
      </c>
      <c r="N27" s="45">
        <f>18.7+10.7</f>
        <v>29.4</v>
      </c>
      <c r="O27" s="45">
        <v>0</v>
      </c>
      <c r="P27" s="45">
        <f t="shared" si="15"/>
        <v>29.4</v>
      </c>
      <c r="Q27" s="45">
        <f>18.7+10.7</f>
        <v>29.4</v>
      </c>
      <c r="R27" s="45"/>
      <c r="S27" s="6">
        <f t="shared" si="16"/>
        <v>29.4</v>
      </c>
      <c r="T27" s="6">
        <v>29.4</v>
      </c>
      <c r="U27" s="6"/>
      <c r="V27" s="6">
        <f t="shared" si="17"/>
        <v>29.4</v>
      </c>
      <c r="W27" s="6">
        <v>29.4</v>
      </c>
      <c r="X27" s="6"/>
      <c r="Y27" s="6">
        <f t="shared" si="18"/>
        <v>29.4</v>
      </c>
      <c r="Z27" s="6">
        <v>29.4</v>
      </c>
      <c r="AA27" s="6"/>
      <c r="AB27" s="6">
        <f t="shared" si="19"/>
        <v>29.4</v>
      </c>
      <c r="AC27" s="6">
        <v>29.4</v>
      </c>
      <c r="AD27" s="6"/>
      <c r="AE27" s="45">
        <f t="shared" si="11"/>
        <v>3.6749999999999998</v>
      </c>
    </row>
    <row r="28" spans="1:31">
      <c r="A28" s="78">
        <f t="shared" si="9"/>
        <v>9</v>
      </c>
      <c r="B28" s="78" t="s">
        <v>43</v>
      </c>
      <c r="C28" s="77" t="s">
        <v>25</v>
      </c>
      <c r="D28" s="77">
        <v>24</v>
      </c>
      <c r="E28" s="77"/>
      <c r="F28" s="77">
        <v>8</v>
      </c>
      <c r="G28" s="45">
        <f t="shared" si="12"/>
        <v>19</v>
      </c>
      <c r="H28" s="45">
        <f>12.8+6.2</f>
        <v>19</v>
      </c>
      <c r="I28" s="45">
        <v>0</v>
      </c>
      <c r="J28" s="45">
        <f t="shared" si="13"/>
        <v>16.600000000000001</v>
      </c>
      <c r="K28" s="45">
        <f>12.8+3.8</f>
        <v>16.600000000000001</v>
      </c>
      <c r="L28" s="45">
        <v>0</v>
      </c>
      <c r="M28" s="45">
        <f t="shared" si="14"/>
        <v>16.600000000000001</v>
      </c>
      <c r="N28" s="45">
        <f>12.8+3.8</f>
        <v>16.600000000000001</v>
      </c>
      <c r="O28" s="45">
        <v>0</v>
      </c>
      <c r="P28" s="45">
        <f t="shared" si="15"/>
        <v>16.600000000000001</v>
      </c>
      <c r="Q28" s="45">
        <f>12.8+3.8</f>
        <v>16.600000000000001</v>
      </c>
      <c r="R28" s="45"/>
      <c r="S28" s="6">
        <f t="shared" si="16"/>
        <v>16.600000000000001</v>
      </c>
      <c r="T28" s="6">
        <v>16.600000000000001</v>
      </c>
      <c r="U28" s="6"/>
      <c r="V28" s="6">
        <f t="shared" si="17"/>
        <v>12.9</v>
      </c>
      <c r="W28" s="6">
        <v>12.9</v>
      </c>
      <c r="X28" s="6"/>
      <c r="Y28" s="6">
        <f t="shared" si="18"/>
        <v>6.5</v>
      </c>
      <c r="Z28" s="6">
        <v>6.5</v>
      </c>
      <c r="AA28" s="6"/>
      <c r="AB28" s="6">
        <f t="shared" si="19"/>
        <v>6.5</v>
      </c>
      <c r="AC28" s="6">
        <v>6.5</v>
      </c>
      <c r="AD28" s="6"/>
      <c r="AE28" s="45">
        <f t="shared" si="11"/>
        <v>0.8125</v>
      </c>
    </row>
    <row r="29" spans="1:31">
      <c r="A29" s="78">
        <f t="shared" si="9"/>
        <v>10</v>
      </c>
      <c r="B29" s="78" t="s">
        <v>43</v>
      </c>
      <c r="C29" s="77" t="s">
        <v>25</v>
      </c>
      <c r="D29" s="77">
        <v>25</v>
      </c>
      <c r="E29" s="77"/>
      <c r="F29" s="77">
        <v>8</v>
      </c>
      <c r="G29" s="45">
        <f t="shared" si="12"/>
        <v>0.5</v>
      </c>
      <c r="H29" s="45">
        <f>4.7-4.2</f>
        <v>0.5</v>
      </c>
      <c r="I29" s="45">
        <v>0</v>
      </c>
      <c r="J29" s="45">
        <f t="shared" si="13"/>
        <v>0.5</v>
      </c>
      <c r="K29" s="45">
        <f>4.7-4.2</f>
        <v>0.5</v>
      </c>
      <c r="L29" s="45">
        <v>0</v>
      </c>
      <c r="M29" s="45">
        <f t="shared" si="14"/>
        <v>0.5</v>
      </c>
      <c r="N29" s="45">
        <f>4.7-4.2</f>
        <v>0.5</v>
      </c>
      <c r="O29" s="45">
        <v>0</v>
      </c>
      <c r="P29" s="45">
        <f t="shared" si="15"/>
        <v>0.5</v>
      </c>
      <c r="Q29" s="45">
        <v>0.5</v>
      </c>
      <c r="R29" s="45"/>
      <c r="S29" s="6">
        <f t="shared" si="16"/>
        <v>0.5</v>
      </c>
      <c r="T29" s="6">
        <v>0.5</v>
      </c>
      <c r="U29" s="6"/>
      <c r="V29" s="6">
        <f t="shared" si="17"/>
        <v>0.4</v>
      </c>
      <c r="W29" s="6">
        <v>0.4</v>
      </c>
      <c r="X29" s="6"/>
      <c r="Y29" s="6">
        <f t="shared" si="18"/>
        <v>0</v>
      </c>
      <c r="Z29" s="6">
        <v>0</v>
      </c>
      <c r="AA29" s="6"/>
      <c r="AB29" s="6">
        <f t="shared" si="19"/>
        <v>0</v>
      </c>
      <c r="AC29" s="6">
        <v>0</v>
      </c>
      <c r="AD29" s="6"/>
      <c r="AE29" s="45">
        <f t="shared" si="11"/>
        <v>0</v>
      </c>
    </row>
    <row r="30" spans="1:31">
      <c r="A30" s="78">
        <f t="shared" si="9"/>
        <v>11</v>
      </c>
      <c r="B30" s="78" t="s">
        <v>43</v>
      </c>
      <c r="C30" s="77" t="s">
        <v>25</v>
      </c>
      <c r="D30" s="77">
        <v>26</v>
      </c>
      <c r="E30" s="77"/>
      <c r="F30" s="77">
        <v>8</v>
      </c>
      <c r="G30" s="45">
        <f t="shared" si="12"/>
        <v>12.2</v>
      </c>
      <c r="H30" s="45">
        <f>12.2</f>
        <v>12.2</v>
      </c>
      <c r="I30" s="45">
        <v>0</v>
      </c>
      <c r="J30" s="45">
        <f t="shared" si="13"/>
        <v>12.2</v>
      </c>
      <c r="K30" s="45">
        <f>12.2</f>
        <v>12.2</v>
      </c>
      <c r="L30" s="45">
        <v>0</v>
      </c>
      <c r="M30" s="45">
        <f t="shared" si="14"/>
        <v>12.2</v>
      </c>
      <c r="N30" s="45">
        <f>12.2</f>
        <v>12.2</v>
      </c>
      <c r="O30" s="45">
        <v>0</v>
      </c>
      <c r="P30" s="45">
        <f t="shared" si="15"/>
        <v>12.2</v>
      </c>
      <c r="Q30" s="45">
        <v>12.2</v>
      </c>
      <c r="R30" s="45"/>
      <c r="S30" s="6">
        <f t="shared" si="16"/>
        <v>12.2</v>
      </c>
      <c r="T30" s="6">
        <v>12.2</v>
      </c>
      <c r="U30" s="6"/>
      <c r="V30" s="6">
        <f t="shared" si="17"/>
        <v>12.2</v>
      </c>
      <c r="W30" s="6">
        <v>12.2</v>
      </c>
      <c r="X30" s="6"/>
      <c r="Y30" s="6">
        <f t="shared" si="18"/>
        <v>12.2</v>
      </c>
      <c r="Z30" s="6">
        <v>12.2</v>
      </c>
      <c r="AA30" s="6"/>
      <c r="AB30" s="6">
        <f t="shared" si="19"/>
        <v>12.2</v>
      </c>
      <c r="AC30" s="6">
        <v>12.2</v>
      </c>
      <c r="AD30" s="6"/>
      <c r="AE30" s="45">
        <f t="shared" si="11"/>
        <v>1.5249999999999999</v>
      </c>
    </row>
    <row r="31" spans="1:31" ht="15" customHeight="1">
      <c r="A31" s="78">
        <f t="shared" si="9"/>
        <v>12</v>
      </c>
      <c r="B31" s="78" t="s">
        <v>43</v>
      </c>
      <c r="C31" s="77" t="s">
        <v>25</v>
      </c>
      <c r="D31" s="77">
        <v>30</v>
      </c>
      <c r="E31" s="77"/>
      <c r="F31" s="77">
        <v>8</v>
      </c>
      <c r="G31" s="45">
        <f t="shared" si="12"/>
        <v>67.900000000000006</v>
      </c>
      <c r="H31" s="45">
        <f>38.9+29</f>
        <v>67.900000000000006</v>
      </c>
      <c r="I31" s="45">
        <v>0</v>
      </c>
      <c r="J31" s="45">
        <f t="shared" si="13"/>
        <v>67.900000000000006</v>
      </c>
      <c r="K31" s="45">
        <f>38.9+29</f>
        <v>67.900000000000006</v>
      </c>
      <c r="L31" s="45">
        <v>0</v>
      </c>
      <c r="M31" s="45">
        <f t="shared" si="14"/>
        <v>67.900000000000006</v>
      </c>
      <c r="N31" s="45">
        <f>38.9+29</f>
        <v>67.900000000000006</v>
      </c>
      <c r="O31" s="45">
        <v>0</v>
      </c>
      <c r="P31" s="45">
        <f t="shared" si="15"/>
        <v>67.900000000000006</v>
      </c>
      <c r="Q31" s="45">
        <f>38.9+29</f>
        <v>67.900000000000006</v>
      </c>
      <c r="R31" s="45"/>
      <c r="S31" s="6">
        <f t="shared" si="16"/>
        <v>0</v>
      </c>
      <c r="T31" s="6"/>
      <c r="U31" s="6"/>
      <c r="V31" s="6">
        <f t="shared" si="17"/>
        <v>66.900000000000006</v>
      </c>
      <c r="W31" s="6">
        <v>66.900000000000006</v>
      </c>
      <c r="X31" s="6">
        <v>0</v>
      </c>
      <c r="Y31" s="6">
        <f t="shared" si="18"/>
        <v>66.599999999999994</v>
      </c>
      <c r="Z31" s="6">
        <v>66.599999999999994</v>
      </c>
      <c r="AA31" s="6"/>
      <c r="AB31" s="6">
        <f t="shared" si="19"/>
        <v>66.599999999999994</v>
      </c>
      <c r="AC31" s="6">
        <v>66.599999999999994</v>
      </c>
      <c r="AD31" s="6"/>
      <c r="AE31" s="45">
        <f t="shared" si="11"/>
        <v>8.3249999999999993</v>
      </c>
    </row>
    <row r="32" spans="1:31">
      <c r="A32" s="78">
        <f t="shared" si="9"/>
        <v>13</v>
      </c>
      <c r="B32" s="78" t="s">
        <v>43</v>
      </c>
      <c r="C32" s="77" t="s">
        <v>51</v>
      </c>
      <c r="D32" s="77">
        <v>1</v>
      </c>
      <c r="E32" s="77"/>
      <c r="F32" s="77">
        <v>12</v>
      </c>
      <c r="G32" s="45">
        <f t="shared" si="12"/>
        <v>143.80000000000001</v>
      </c>
      <c r="H32" s="45">
        <f>46.2+25.7</f>
        <v>71.900000000000006</v>
      </c>
      <c r="I32" s="45">
        <v>71.900000000000006</v>
      </c>
      <c r="J32" s="45">
        <f t="shared" si="13"/>
        <v>143.80000000000001</v>
      </c>
      <c r="K32" s="45">
        <f>46.2+25.7</f>
        <v>71.900000000000006</v>
      </c>
      <c r="L32" s="45">
        <v>71.900000000000006</v>
      </c>
      <c r="M32" s="45">
        <f t="shared" si="14"/>
        <v>143.80000000000001</v>
      </c>
      <c r="N32" s="45">
        <f>46.2+25.7</f>
        <v>71.900000000000006</v>
      </c>
      <c r="O32" s="45">
        <v>71.900000000000006</v>
      </c>
      <c r="P32" s="45">
        <f t="shared" si="15"/>
        <v>143.80000000000001</v>
      </c>
      <c r="Q32" s="45">
        <f>46.2+25.7</f>
        <v>71.900000000000006</v>
      </c>
      <c r="R32" s="45">
        <v>71.900000000000006</v>
      </c>
      <c r="S32" s="6">
        <f t="shared" si="16"/>
        <v>143.80000000000001</v>
      </c>
      <c r="T32" s="6">
        <v>71.900000000000006</v>
      </c>
      <c r="U32" s="6">
        <v>71.900000000000006</v>
      </c>
      <c r="V32" s="6">
        <f t="shared" si="17"/>
        <v>143.80000000000001</v>
      </c>
      <c r="W32" s="6">
        <v>71.900000000000006</v>
      </c>
      <c r="X32" s="6">
        <v>71.900000000000006</v>
      </c>
      <c r="Y32" s="6">
        <f t="shared" si="18"/>
        <v>143.80000000000001</v>
      </c>
      <c r="Z32" s="6">
        <v>71.900000000000006</v>
      </c>
      <c r="AA32" s="6">
        <v>71.900000000000006</v>
      </c>
      <c r="AB32" s="6">
        <f t="shared" si="19"/>
        <v>143.80000000000001</v>
      </c>
      <c r="AC32" s="6">
        <v>71.900000000000006</v>
      </c>
      <c r="AD32" s="6">
        <v>71.900000000000006</v>
      </c>
      <c r="AE32" s="45">
        <f t="shared" si="11"/>
        <v>11.983333333333334</v>
      </c>
    </row>
    <row r="33" spans="1:31">
      <c r="A33" s="78">
        <f t="shared" si="9"/>
        <v>14</v>
      </c>
      <c r="B33" s="78" t="s">
        <v>43</v>
      </c>
      <c r="C33" s="77" t="s">
        <v>51</v>
      </c>
      <c r="D33" s="77">
        <v>7</v>
      </c>
      <c r="E33" s="77"/>
      <c r="F33" s="77">
        <v>12</v>
      </c>
      <c r="G33" s="45">
        <f t="shared" si="12"/>
        <v>0.3</v>
      </c>
      <c r="H33" s="45">
        <v>0.3</v>
      </c>
      <c r="I33" s="45">
        <v>0</v>
      </c>
      <c r="J33" s="45">
        <f t="shared" si="13"/>
        <v>0.3</v>
      </c>
      <c r="K33" s="45">
        <v>0.3</v>
      </c>
      <c r="L33" s="45">
        <v>0</v>
      </c>
      <c r="M33" s="45">
        <f t="shared" si="14"/>
        <v>0.3</v>
      </c>
      <c r="N33" s="45">
        <v>0.3</v>
      </c>
      <c r="O33" s="45">
        <v>0</v>
      </c>
      <c r="P33" s="45">
        <f t="shared" si="15"/>
        <v>0.3</v>
      </c>
      <c r="Q33" s="45">
        <v>0.3</v>
      </c>
      <c r="R33" s="45"/>
      <c r="S33" s="6">
        <f t="shared" si="16"/>
        <v>0.3</v>
      </c>
      <c r="T33" s="6">
        <v>0.3</v>
      </c>
      <c r="U33" s="6"/>
      <c r="V33" s="6">
        <f t="shared" si="17"/>
        <v>0.3</v>
      </c>
      <c r="W33" s="6">
        <v>0.3</v>
      </c>
      <c r="X33" s="6"/>
      <c r="Y33" s="6">
        <f t="shared" si="18"/>
        <v>0.3</v>
      </c>
      <c r="Z33" s="6">
        <v>0.3</v>
      </c>
      <c r="AA33" s="6"/>
      <c r="AB33" s="6">
        <f t="shared" si="19"/>
        <v>0.3</v>
      </c>
      <c r="AC33" s="6">
        <v>0.3</v>
      </c>
      <c r="AD33" s="6"/>
      <c r="AE33" s="45">
        <f t="shared" si="11"/>
        <v>2.4999999999999998E-2</v>
      </c>
    </row>
    <row r="34" spans="1:31">
      <c r="A34" s="78">
        <f t="shared" si="9"/>
        <v>15</v>
      </c>
      <c r="B34" s="78" t="s">
        <v>43</v>
      </c>
      <c r="C34" s="77" t="s">
        <v>52</v>
      </c>
      <c r="D34" s="77">
        <v>4</v>
      </c>
      <c r="E34" s="77"/>
      <c r="F34" s="77">
        <v>12</v>
      </c>
      <c r="G34" s="45">
        <f t="shared" si="12"/>
        <v>24</v>
      </c>
      <c r="H34" s="45">
        <v>24</v>
      </c>
      <c r="I34" s="45">
        <v>0</v>
      </c>
      <c r="J34" s="45">
        <f t="shared" si="13"/>
        <v>24</v>
      </c>
      <c r="K34" s="45">
        <v>24</v>
      </c>
      <c r="L34" s="45">
        <v>0</v>
      </c>
      <c r="M34" s="45">
        <f t="shared" si="14"/>
        <v>15.2</v>
      </c>
      <c r="N34" s="45">
        <v>15.2</v>
      </c>
      <c r="O34" s="45">
        <v>0</v>
      </c>
      <c r="P34" s="45">
        <f t="shared" si="15"/>
        <v>15.2</v>
      </c>
      <c r="Q34" s="45">
        <v>15.2</v>
      </c>
      <c r="R34" s="45"/>
      <c r="S34" s="6">
        <f t="shared" si="16"/>
        <v>15.2</v>
      </c>
      <c r="T34" s="6">
        <v>15.2</v>
      </c>
      <c r="U34" s="6"/>
      <c r="V34" s="6">
        <f t="shared" si="17"/>
        <v>4.5999999999999996</v>
      </c>
      <c r="W34" s="6">
        <v>4.5999999999999996</v>
      </c>
      <c r="X34" s="6"/>
      <c r="Y34" s="6">
        <f t="shared" si="18"/>
        <v>4.5999999999999996</v>
      </c>
      <c r="Z34" s="6">
        <v>4.5999999999999996</v>
      </c>
      <c r="AA34" s="6"/>
      <c r="AB34" s="6">
        <f t="shared" si="19"/>
        <v>4.5999999999999996</v>
      </c>
      <c r="AC34" s="6">
        <v>4.5999999999999996</v>
      </c>
      <c r="AD34" s="6"/>
      <c r="AE34" s="45">
        <f t="shared" si="11"/>
        <v>0.3833333333333333</v>
      </c>
    </row>
    <row r="35" spans="1:31">
      <c r="A35" s="78">
        <f t="shared" si="9"/>
        <v>16</v>
      </c>
      <c r="B35" s="78" t="s">
        <v>43</v>
      </c>
      <c r="C35" s="77" t="s">
        <v>44</v>
      </c>
      <c r="D35" s="77">
        <v>5</v>
      </c>
      <c r="E35" s="77" t="s">
        <v>20</v>
      </c>
      <c r="F35" s="77">
        <v>12</v>
      </c>
      <c r="G35" s="45">
        <f t="shared" si="12"/>
        <v>12.8</v>
      </c>
      <c r="H35" s="45">
        <v>12.8</v>
      </c>
      <c r="I35" s="45">
        <v>0</v>
      </c>
      <c r="J35" s="45">
        <f t="shared" si="13"/>
        <v>12.8</v>
      </c>
      <c r="K35" s="45">
        <v>12.8</v>
      </c>
      <c r="L35" s="45">
        <v>0</v>
      </c>
      <c r="M35" s="45">
        <f t="shared" si="14"/>
        <v>12.8</v>
      </c>
      <c r="N35" s="45">
        <v>12.8</v>
      </c>
      <c r="O35" s="45">
        <v>0</v>
      </c>
      <c r="P35" s="45">
        <f t="shared" si="15"/>
        <v>12.8</v>
      </c>
      <c r="Q35" s="45">
        <v>12.8</v>
      </c>
      <c r="R35" s="45"/>
      <c r="S35" s="6">
        <f t="shared" si="16"/>
        <v>12.8</v>
      </c>
      <c r="T35" s="6">
        <v>12.8</v>
      </c>
      <c r="U35" s="6"/>
      <c r="V35" s="6">
        <f t="shared" si="17"/>
        <v>12.8</v>
      </c>
      <c r="W35" s="6">
        <v>12.8</v>
      </c>
      <c r="X35" s="6"/>
      <c r="Y35" s="6">
        <f t="shared" si="18"/>
        <v>12.8</v>
      </c>
      <c r="Z35" s="6">
        <v>12.8</v>
      </c>
      <c r="AA35" s="6"/>
      <c r="AB35" s="6">
        <f t="shared" si="19"/>
        <v>12.8</v>
      </c>
      <c r="AC35" s="6">
        <v>12.8</v>
      </c>
      <c r="AD35" s="6"/>
      <c r="AE35" s="45">
        <f>AB35/F35</f>
        <v>1.0666666666666667</v>
      </c>
    </row>
    <row r="36" spans="1:31" s="27" customFormat="1">
      <c r="A36" s="25"/>
      <c r="B36" s="26" t="s">
        <v>8</v>
      </c>
      <c r="C36" s="49"/>
      <c r="D36" s="49"/>
      <c r="E36" s="49"/>
      <c r="F36" s="73">
        <f>SUM(F20:F35)</f>
        <v>179</v>
      </c>
      <c r="G36" s="73">
        <f t="shared" ref="G36:Z36" si="20">SUM(G20:G35)</f>
        <v>711.12999999999988</v>
      </c>
      <c r="H36" s="73">
        <f t="shared" si="20"/>
        <v>520.98</v>
      </c>
      <c r="I36" s="73">
        <f t="shared" si="20"/>
        <v>190.15</v>
      </c>
      <c r="J36" s="73">
        <f t="shared" si="20"/>
        <v>679.72</v>
      </c>
      <c r="K36" s="73">
        <f t="shared" si="20"/>
        <v>500.08000000000004</v>
      </c>
      <c r="L36" s="73">
        <f t="shared" si="20"/>
        <v>179.64000000000001</v>
      </c>
      <c r="M36" s="73">
        <f t="shared" si="20"/>
        <v>643.13999999999987</v>
      </c>
      <c r="N36" s="73">
        <f t="shared" si="20"/>
        <v>482.21</v>
      </c>
      <c r="O36" s="73">
        <f t="shared" si="20"/>
        <v>160.93</v>
      </c>
      <c r="P36" s="73">
        <f t="shared" si="20"/>
        <v>633.28</v>
      </c>
      <c r="Q36" s="73">
        <f t="shared" si="20"/>
        <v>471.54</v>
      </c>
      <c r="R36" s="73">
        <f t="shared" si="20"/>
        <v>161.74</v>
      </c>
      <c r="S36" s="73">
        <f t="shared" si="20"/>
        <v>533.87</v>
      </c>
      <c r="T36" s="73">
        <f t="shared" si="20"/>
        <v>373.84999999999997</v>
      </c>
      <c r="U36" s="73">
        <f t="shared" si="20"/>
        <v>160.02000000000001</v>
      </c>
      <c r="V36" s="74">
        <f>SUM(V20:V35)</f>
        <v>577.4799999999999</v>
      </c>
      <c r="W36" s="73">
        <f t="shared" si="20"/>
        <v>417.86</v>
      </c>
      <c r="X36" s="73">
        <f t="shared" si="20"/>
        <v>159.62</v>
      </c>
      <c r="Y36" s="73">
        <f t="shared" si="20"/>
        <v>562.25999999999988</v>
      </c>
      <c r="Z36" s="73">
        <f t="shared" si="20"/>
        <v>405.14</v>
      </c>
      <c r="AA36" s="74">
        <f>SUM(AA20:AA35)</f>
        <v>157.12</v>
      </c>
      <c r="AB36" s="74">
        <f>SUM(AB20:AB35)</f>
        <v>542.66999999999996</v>
      </c>
      <c r="AC36" s="74">
        <f t="shared" ref="AC36:AD36" si="21">SUM(AC20:AC35)</f>
        <v>384.04999999999995</v>
      </c>
      <c r="AD36" s="74">
        <f t="shared" si="21"/>
        <v>158.62</v>
      </c>
      <c r="AE36" s="50"/>
    </row>
    <row r="38" spans="1:31">
      <c r="B38" s="81" t="s">
        <v>144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</row>
    <row r="39" spans="1:31" ht="40.5" customHeight="1">
      <c r="B39" s="249" t="s">
        <v>146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</row>
    <row r="40" spans="1:31">
      <c r="W40" s="11"/>
      <c r="X40" s="11"/>
      <c r="Y40" s="11"/>
      <c r="Z40" s="11"/>
      <c r="AA40" s="11"/>
      <c r="AB40" s="11"/>
      <c r="AC40" s="11"/>
      <c r="AD40" s="11"/>
    </row>
  </sheetData>
  <sortState ref="C7:AE17">
    <sortCondition descending="1" ref="AB7:AB17"/>
  </sortState>
  <mergeCells count="36">
    <mergeCell ref="B1:AE1"/>
    <mergeCell ref="B2:AE2"/>
    <mergeCell ref="A4:A6"/>
    <mergeCell ref="G4:I4"/>
    <mergeCell ref="J4:L4"/>
    <mergeCell ref="F4:F6"/>
    <mergeCell ref="C5:C6"/>
    <mergeCell ref="K5:L5"/>
    <mergeCell ref="D5:D6"/>
    <mergeCell ref="E5:E6"/>
    <mergeCell ref="G5:G6"/>
    <mergeCell ref="H5:I5"/>
    <mergeCell ref="J5:J6"/>
    <mergeCell ref="Y4:AA4"/>
    <mergeCell ref="Q5:R5"/>
    <mergeCell ref="P4:R4"/>
    <mergeCell ref="M5:M6"/>
    <mergeCell ref="N5:O5"/>
    <mergeCell ref="B39:V39"/>
    <mergeCell ref="A19:AE19"/>
    <mergeCell ref="AE4:AE6"/>
    <mergeCell ref="S4:U4"/>
    <mergeCell ref="S5:S6"/>
    <mergeCell ref="T5:U5"/>
    <mergeCell ref="B4:B6"/>
    <mergeCell ref="C4:E4"/>
    <mergeCell ref="Z5:AA5"/>
    <mergeCell ref="AB4:AD4"/>
    <mergeCell ref="AB5:AB6"/>
    <mergeCell ref="AC5:AD5"/>
    <mergeCell ref="V4:X4"/>
    <mergeCell ref="V5:V6"/>
    <mergeCell ref="W5:X5"/>
    <mergeCell ref="Y5:Y6"/>
    <mergeCell ref="M4:O4"/>
    <mergeCell ref="P5:P6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8"/>
  <sheetViews>
    <sheetView zoomScaleNormal="100" workbookViewId="0">
      <selection activeCell="AE31" sqref="AE31"/>
    </sheetView>
  </sheetViews>
  <sheetFormatPr defaultRowHeight="12.75" outlineLevelCol="1"/>
  <cols>
    <col min="1" max="1" width="9.140625" style="13"/>
    <col min="2" max="2" width="19.7109375" style="13" customWidth="1"/>
    <col min="3" max="3" width="22.42578125" style="13" customWidth="1"/>
    <col min="4" max="4" width="6.7109375" style="13" customWidth="1"/>
    <col min="5" max="5" width="7.42578125" style="13" customWidth="1"/>
    <col min="6" max="6" width="10.7109375" style="13" customWidth="1"/>
    <col min="7" max="7" width="8.7109375" style="13" customWidth="1"/>
    <col min="8" max="8" width="10" style="13" customWidth="1"/>
    <col min="9" max="9" width="10.5703125" style="13" customWidth="1"/>
    <col min="10" max="10" width="9.140625" style="13" hidden="1" customWidth="1" outlineLevel="1"/>
    <col min="11" max="15" width="10.140625" style="13" hidden="1" customWidth="1" outlineLevel="1"/>
    <col min="16" max="16" width="9.140625" style="13" hidden="1" customWidth="1" outlineLevel="1"/>
    <col min="17" max="17" width="10.28515625" style="13" hidden="1" customWidth="1" outlineLevel="1"/>
    <col min="18" max="27" width="10.5703125" style="13" hidden="1" customWidth="1" outlineLevel="1"/>
    <col min="28" max="28" width="10.5703125" style="13" customWidth="1" collapsed="1"/>
    <col min="29" max="31" width="10.5703125" style="13" customWidth="1"/>
    <col min="32" max="273" width="9.140625" style="13"/>
    <col min="274" max="274" width="19.7109375" style="13" customWidth="1"/>
    <col min="275" max="275" width="22.42578125" style="13" customWidth="1"/>
    <col min="276" max="277" width="6.7109375" style="13" customWidth="1"/>
    <col min="278" max="278" width="8.7109375" style="13" customWidth="1"/>
    <col min="279" max="279" width="10" style="13" customWidth="1"/>
    <col min="280" max="280" width="10.5703125" style="13" customWidth="1"/>
    <col min="281" max="281" width="9.140625" style="13"/>
    <col min="282" max="283" width="10.140625" style="13" customWidth="1"/>
    <col min="284" max="284" width="9.140625" style="13"/>
    <col min="285" max="285" width="10.28515625" style="13" customWidth="1"/>
    <col min="286" max="286" width="10.5703125" style="13" customWidth="1"/>
    <col min="287" max="529" width="9.140625" style="13"/>
    <col min="530" max="530" width="19.7109375" style="13" customWidth="1"/>
    <col min="531" max="531" width="22.42578125" style="13" customWidth="1"/>
    <col min="532" max="533" width="6.7109375" style="13" customWidth="1"/>
    <col min="534" max="534" width="8.7109375" style="13" customWidth="1"/>
    <col min="535" max="535" width="10" style="13" customWidth="1"/>
    <col min="536" max="536" width="10.5703125" style="13" customWidth="1"/>
    <col min="537" max="537" width="9.140625" style="13"/>
    <col min="538" max="539" width="10.140625" style="13" customWidth="1"/>
    <col min="540" max="540" width="9.140625" style="13"/>
    <col min="541" max="541" width="10.28515625" style="13" customWidth="1"/>
    <col min="542" max="542" width="10.5703125" style="13" customWidth="1"/>
    <col min="543" max="785" width="9.140625" style="13"/>
    <col min="786" max="786" width="19.7109375" style="13" customWidth="1"/>
    <col min="787" max="787" width="22.42578125" style="13" customWidth="1"/>
    <col min="788" max="789" width="6.7109375" style="13" customWidth="1"/>
    <col min="790" max="790" width="8.7109375" style="13" customWidth="1"/>
    <col min="791" max="791" width="10" style="13" customWidth="1"/>
    <col min="792" max="792" width="10.5703125" style="13" customWidth="1"/>
    <col min="793" max="793" width="9.140625" style="13"/>
    <col min="794" max="795" width="10.140625" style="13" customWidth="1"/>
    <col min="796" max="796" width="9.140625" style="13"/>
    <col min="797" max="797" width="10.28515625" style="13" customWidth="1"/>
    <col min="798" max="798" width="10.5703125" style="13" customWidth="1"/>
    <col min="799" max="1041" width="9.140625" style="13"/>
    <col min="1042" max="1042" width="19.7109375" style="13" customWidth="1"/>
    <col min="1043" max="1043" width="22.42578125" style="13" customWidth="1"/>
    <col min="1044" max="1045" width="6.7109375" style="13" customWidth="1"/>
    <col min="1046" max="1046" width="8.7109375" style="13" customWidth="1"/>
    <col min="1047" max="1047" width="10" style="13" customWidth="1"/>
    <col min="1048" max="1048" width="10.5703125" style="13" customWidth="1"/>
    <col min="1049" max="1049" width="9.140625" style="13"/>
    <col min="1050" max="1051" width="10.140625" style="13" customWidth="1"/>
    <col min="1052" max="1052" width="9.140625" style="13"/>
    <col min="1053" max="1053" width="10.28515625" style="13" customWidth="1"/>
    <col min="1054" max="1054" width="10.5703125" style="13" customWidth="1"/>
    <col min="1055" max="1297" width="9.140625" style="13"/>
    <col min="1298" max="1298" width="19.7109375" style="13" customWidth="1"/>
    <col min="1299" max="1299" width="22.42578125" style="13" customWidth="1"/>
    <col min="1300" max="1301" width="6.7109375" style="13" customWidth="1"/>
    <col min="1302" max="1302" width="8.7109375" style="13" customWidth="1"/>
    <col min="1303" max="1303" width="10" style="13" customWidth="1"/>
    <col min="1304" max="1304" width="10.5703125" style="13" customWidth="1"/>
    <col min="1305" max="1305" width="9.140625" style="13"/>
    <col min="1306" max="1307" width="10.140625" style="13" customWidth="1"/>
    <col min="1308" max="1308" width="9.140625" style="13"/>
    <col min="1309" max="1309" width="10.28515625" style="13" customWidth="1"/>
    <col min="1310" max="1310" width="10.5703125" style="13" customWidth="1"/>
    <col min="1311" max="1553" width="9.140625" style="13"/>
    <col min="1554" max="1554" width="19.7109375" style="13" customWidth="1"/>
    <col min="1555" max="1555" width="22.42578125" style="13" customWidth="1"/>
    <col min="1556" max="1557" width="6.7109375" style="13" customWidth="1"/>
    <col min="1558" max="1558" width="8.7109375" style="13" customWidth="1"/>
    <col min="1559" max="1559" width="10" style="13" customWidth="1"/>
    <col min="1560" max="1560" width="10.5703125" style="13" customWidth="1"/>
    <col min="1561" max="1561" width="9.140625" style="13"/>
    <col min="1562" max="1563" width="10.140625" style="13" customWidth="1"/>
    <col min="1564" max="1564" width="9.140625" style="13"/>
    <col min="1565" max="1565" width="10.28515625" style="13" customWidth="1"/>
    <col min="1566" max="1566" width="10.5703125" style="13" customWidth="1"/>
    <col min="1567" max="1809" width="9.140625" style="13"/>
    <col min="1810" max="1810" width="19.7109375" style="13" customWidth="1"/>
    <col min="1811" max="1811" width="22.42578125" style="13" customWidth="1"/>
    <col min="1812" max="1813" width="6.7109375" style="13" customWidth="1"/>
    <col min="1814" max="1814" width="8.7109375" style="13" customWidth="1"/>
    <col min="1815" max="1815" width="10" style="13" customWidth="1"/>
    <col min="1816" max="1816" width="10.5703125" style="13" customWidth="1"/>
    <col min="1817" max="1817" width="9.140625" style="13"/>
    <col min="1818" max="1819" width="10.140625" style="13" customWidth="1"/>
    <col min="1820" max="1820" width="9.140625" style="13"/>
    <col min="1821" max="1821" width="10.28515625" style="13" customWidth="1"/>
    <col min="1822" max="1822" width="10.5703125" style="13" customWidth="1"/>
    <col min="1823" max="2065" width="9.140625" style="13"/>
    <col min="2066" max="2066" width="19.7109375" style="13" customWidth="1"/>
    <col min="2067" max="2067" width="22.42578125" style="13" customWidth="1"/>
    <col min="2068" max="2069" width="6.7109375" style="13" customWidth="1"/>
    <col min="2070" max="2070" width="8.7109375" style="13" customWidth="1"/>
    <col min="2071" max="2071" width="10" style="13" customWidth="1"/>
    <col min="2072" max="2072" width="10.5703125" style="13" customWidth="1"/>
    <col min="2073" max="2073" width="9.140625" style="13"/>
    <col min="2074" max="2075" width="10.140625" style="13" customWidth="1"/>
    <col min="2076" max="2076" width="9.140625" style="13"/>
    <col min="2077" max="2077" width="10.28515625" style="13" customWidth="1"/>
    <col min="2078" max="2078" width="10.5703125" style="13" customWidth="1"/>
    <col min="2079" max="2321" width="9.140625" style="13"/>
    <col min="2322" max="2322" width="19.7109375" style="13" customWidth="1"/>
    <col min="2323" max="2323" width="22.42578125" style="13" customWidth="1"/>
    <col min="2324" max="2325" width="6.7109375" style="13" customWidth="1"/>
    <col min="2326" max="2326" width="8.7109375" style="13" customWidth="1"/>
    <col min="2327" max="2327" width="10" style="13" customWidth="1"/>
    <col min="2328" max="2328" width="10.5703125" style="13" customWidth="1"/>
    <col min="2329" max="2329" width="9.140625" style="13"/>
    <col min="2330" max="2331" width="10.140625" style="13" customWidth="1"/>
    <col min="2332" max="2332" width="9.140625" style="13"/>
    <col min="2333" max="2333" width="10.28515625" style="13" customWidth="1"/>
    <col min="2334" max="2334" width="10.5703125" style="13" customWidth="1"/>
    <col min="2335" max="2577" width="9.140625" style="13"/>
    <col min="2578" max="2578" width="19.7109375" style="13" customWidth="1"/>
    <col min="2579" max="2579" width="22.42578125" style="13" customWidth="1"/>
    <col min="2580" max="2581" width="6.7109375" style="13" customWidth="1"/>
    <col min="2582" max="2582" width="8.7109375" style="13" customWidth="1"/>
    <col min="2583" max="2583" width="10" style="13" customWidth="1"/>
    <col min="2584" max="2584" width="10.5703125" style="13" customWidth="1"/>
    <col min="2585" max="2585" width="9.140625" style="13"/>
    <col min="2586" max="2587" width="10.140625" style="13" customWidth="1"/>
    <col min="2588" max="2588" width="9.140625" style="13"/>
    <col min="2589" max="2589" width="10.28515625" style="13" customWidth="1"/>
    <col min="2590" max="2590" width="10.5703125" style="13" customWidth="1"/>
    <col min="2591" max="2833" width="9.140625" style="13"/>
    <col min="2834" max="2834" width="19.7109375" style="13" customWidth="1"/>
    <col min="2835" max="2835" width="22.42578125" style="13" customWidth="1"/>
    <col min="2836" max="2837" width="6.7109375" style="13" customWidth="1"/>
    <col min="2838" max="2838" width="8.7109375" style="13" customWidth="1"/>
    <col min="2839" max="2839" width="10" style="13" customWidth="1"/>
    <col min="2840" max="2840" width="10.5703125" style="13" customWidth="1"/>
    <col min="2841" max="2841" width="9.140625" style="13"/>
    <col min="2842" max="2843" width="10.140625" style="13" customWidth="1"/>
    <col min="2844" max="2844" width="9.140625" style="13"/>
    <col min="2845" max="2845" width="10.28515625" style="13" customWidth="1"/>
    <col min="2846" max="2846" width="10.5703125" style="13" customWidth="1"/>
    <col min="2847" max="3089" width="9.140625" style="13"/>
    <col min="3090" max="3090" width="19.7109375" style="13" customWidth="1"/>
    <col min="3091" max="3091" width="22.42578125" style="13" customWidth="1"/>
    <col min="3092" max="3093" width="6.7109375" style="13" customWidth="1"/>
    <col min="3094" max="3094" width="8.7109375" style="13" customWidth="1"/>
    <col min="3095" max="3095" width="10" style="13" customWidth="1"/>
    <col min="3096" max="3096" width="10.5703125" style="13" customWidth="1"/>
    <col min="3097" max="3097" width="9.140625" style="13"/>
    <col min="3098" max="3099" width="10.140625" style="13" customWidth="1"/>
    <col min="3100" max="3100" width="9.140625" style="13"/>
    <col min="3101" max="3101" width="10.28515625" style="13" customWidth="1"/>
    <col min="3102" max="3102" width="10.5703125" style="13" customWidth="1"/>
    <col min="3103" max="3345" width="9.140625" style="13"/>
    <col min="3346" max="3346" width="19.7109375" style="13" customWidth="1"/>
    <col min="3347" max="3347" width="22.42578125" style="13" customWidth="1"/>
    <col min="3348" max="3349" width="6.7109375" style="13" customWidth="1"/>
    <col min="3350" max="3350" width="8.7109375" style="13" customWidth="1"/>
    <col min="3351" max="3351" width="10" style="13" customWidth="1"/>
    <col min="3352" max="3352" width="10.5703125" style="13" customWidth="1"/>
    <col min="3353" max="3353" width="9.140625" style="13"/>
    <col min="3354" max="3355" width="10.140625" style="13" customWidth="1"/>
    <col min="3356" max="3356" width="9.140625" style="13"/>
    <col min="3357" max="3357" width="10.28515625" style="13" customWidth="1"/>
    <col min="3358" max="3358" width="10.5703125" style="13" customWidth="1"/>
    <col min="3359" max="3601" width="9.140625" style="13"/>
    <col min="3602" max="3602" width="19.7109375" style="13" customWidth="1"/>
    <col min="3603" max="3603" width="22.42578125" style="13" customWidth="1"/>
    <col min="3604" max="3605" width="6.7109375" style="13" customWidth="1"/>
    <col min="3606" max="3606" width="8.7109375" style="13" customWidth="1"/>
    <col min="3607" max="3607" width="10" style="13" customWidth="1"/>
    <col min="3608" max="3608" width="10.5703125" style="13" customWidth="1"/>
    <col min="3609" max="3609" width="9.140625" style="13"/>
    <col min="3610" max="3611" width="10.140625" style="13" customWidth="1"/>
    <col min="3612" max="3612" width="9.140625" style="13"/>
    <col min="3613" max="3613" width="10.28515625" style="13" customWidth="1"/>
    <col min="3614" max="3614" width="10.5703125" style="13" customWidth="1"/>
    <col min="3615" max="3857" width="9.140625" style="13"/>
    <col min="3858" max="3858" width="19.7109375" style="13" customWidth="1"/>
    <col min="3859" max="3859" width="22.42578125" style="13" customWidth="1"/>
    <col min="3860" max="3861" width="6.7109375" style="13" customWidth="1"/>
    <col min="3862" max="3862" width="8.7109375" style="13" customWidth="1"/>
    <col min="3863" max="3863" width="10" style="13" customWidth="1"/>
    <col min="3864" max="3864" width="10.5703125" style="13" customWidth="1"/>
    <col min="3865" max="3865" width="9.140625" style="13"/>
    <col min="3866" max="3867" width="10.140625" style="13" customWidth="1"/>
    <col min="3868" max="3868" width="9.140625" style="13"/>
    <col min="3869" max="3869" width="10.28515625" style="13" customWidth="1"/>
    <col min="3870" max="3870" width="10.5703125" style="13" customWidth="1"/>
    <col min="3871" max="4113" width="9.140625" style="13"/>
    <col min="4114" max="4114" width="19.7109375" style="13" customWidth="1"/>
    <col min="4115" max="4115" width="22.42578125" style="13" customWidth="1"/>
    <col min="4116" max="4117" width="6.7109375" style="13" customWidth="1"/>
    <col min="4118" max="4118" width="8.7109375" style="13" customWidth="1"/>
    <col min="4119" max="4119" width="10" style="13" customWidth="1"/>
    <col min="4120" max="4120" width="10.5703125" style="13" customWidth="1"/>
    <col min="4121" max="4121" width="9.140625" style="13"/>
    <col min="4122" max="4123" width="10.140625" style="13" customWidth="1"/>
    <col min="4124" max="4124" width="9.140625" style="13"/>
    <col min="4125" max="4125" width="10.28515625" style="13" customWidth="1"/>
    <col min="4126" max="4126" width="10.5703125" style="13" customWidth="1"/>
    <col min="4127" max="4369" width="9.140625" style="13"/>
    <col min="4370" max="4370" width="19.7109375" style="13" customWidth="1"/>
    <col min="4371" max="4371" width="22.42578125" style="13" customWidth="1"/>
    <col min="4372" max="4373" width="6.7109375" style="13" customWidth="1"/>
    <col min="4374" max="4374" width="8.7109375" style="13" customWidth="1"/>
    <col min="4375" max="4375" width="10" style="13" customWidth="1"/>
    <col min="4376" max="4376" width="10.5703125" style="13" customWidth="1"/>
    <col min="4377" max="4377" width="9.140625" style="13"/>
    <col min="4378" max="4379" width="10.140625" style="13" customWidth="1"/>
    <col min="4380" max="4380" width="9.140625" style="13"/>
    <col min="4381" max="4381" width="10.28515625" style="13" customWidth="1"/>
    <col min="4382" max="4382" width="10.5703125" style="13" customWidth="1"/>
    <col min="4383" max="4625" width="9.140625" style="13"/>
    <col min="4626" max="4626" width="19.7109375" style="13" customWidth="1"/>
    <col min="4627" max="4627" width="22.42578125" style="13" customWidth="1"/>
    <col min="4628" max="4629" width="6.7109375" style="13" customWidth="1"/>
    <col min="4630" max="4630" width="8.7109375" style="13" customWidth="1"/>
    <col min="4631" max="4631" width="10" style="13" customWidth="1"/>
    <col min="4632" max="4632" width="10.5703125" style="13" customWidth="1"/>
    <col min="4633" max="4633" width="9.140625" style="13"/>
    <col min="4634" max="4635" width="10.140625" style="13" customWidth="1"/>
    <col min="4636" max="4636" width="9.140625" style="13"/>
    <col min="4637" max="4637" width="10.28515625" style="13" customWidth="1"/>
    <col min="4638" max="4638" width="10.5703125" style="13" customWidth="1"/>
    <col min="4639" max="4881" width="9.140625" style="13"/>
    <col min="4882" max="4882" width="19.7109375" style="13" customWidth="1"/>
    <col min="4883" max="4883" width="22.42578125" style="13" customWidth="1"/>
    <col min="4884" max="4885" width="6.7109375" style="13" customWidth="1"/>
    <col min="4886" max="4886" width="8.7109375" style="13" customWidth="1"/>
    <col min="4887" max="4887" width="10" style="13" customWidth="1"/>
    <col min="4888" max="4888" width="10.5703125" style="13" customWidth="1"/>
    <col min="4889" max="4889" width="9.140625" style="13"/>
    <col min="4890" max="4891" width="10.140625" style="13" customWidth="1"/>
    <col min="4892" max="4892" width="9.140625" style="13"/>
    <col min="4893" max="4893" width="10.28515625" style="13" customWidth="1"/>
    <col min="4894" max="4894" width="10.5703125" style="13" customWidth="1"/>
    <col min="4895" max="5137" width="9.140625" style="13"/>
    <col min="5138" max="5138" width="19.7109375" style="13" customWidth="1"/>
    <col min="5139" max="5139" width="22.42578125" style="13" customWidth="1"/>
    <col min="5140" max="5141" width="6.7109375" style="13" customWidth="1"/>
    <col min="5142" max="5142" width="8.7109375" style="13" customWidth="1"/>
    <col min="5143" max="5143" width="10" style="13" customWidth="1"/>
    <col min="5144" max="5144" width="10.5703125" style="13" customWidth="1"/>
    <col min="5145" max="5145" width="9.140625" style="13"/>
    <col min="5146" max="5147" width="10.140625" style="13" customWidth="1"/>
    <col min="5148" max="5148" width="9.140625" style="13"/>
    <col min="5149" max="5149" width="10.28515625" style="13" customWidth="1"/>
    <col min="5150" max="5150" width="10.5703125" style="13" customWidth="1"/>
    <col min="5151" max="5393" width="9.140625" style="13"/>
    <col min="5394" max="5394" width="19.7109375" style="13" customWidth="1"/>
    <col min="5395" max="5395" width="22.42578125" style="13" customWidth="1"/>
    <col min="5396" max="5397" width="6.7109375" style="13" customWidth="1"/>
    <col min="5398" max="5398" width="8.7109375" style="13" customWidth="1"/>
    <col min="5399" max="5399" width="10" style="13" customWidth="1"/>
    <col min="5400" max="5400" width="10.5703125" style="13" customWidth="1"/>
    <col min="5401" max="5401" width="9.140625" style="13"/>
    <col min="5402" max="5403" width="10.140625" style="13" customWidth="1"/>
    <col min="5404" max="5404" width="9.140625" style="13"/>
    <col min="5405" max="5405" width="10.28515625" style="13" customWidth="1"/>
    <col min="5406" max="5406" width="10.5703125" style="13" customWidth="1"/>
    <col min="5407" max="5649" width="9.140625" style="13"/>
    <col min="5650" max="5650" width="19.7109375" style="13" customWidth="1"/>
    <col min="5651" max="5651" width="22.42578125" style="13" customWidth="1"/>
    <col min="5652" max="5653" width="6.7109375" style="13" customWidth="1"/>
    <col min="5654" max="5654" width="8.7109375" style="13" customWidth="1"/>
    <col min="5655" max="5655" width="10" style="13" customWidth="1"/>
    <col min="5656" max="5656" width="10.5703125" style="13" customWidth="1"/>
    <col min="5657" max="5657" width="9.140625" style="13"/>
    <col min="5658" max="5659" width="10.140625" style="13" customWidth="1"/>
    <col min="5660" max="5660" width="9.140625" style="13"/>
    <col min="5661" max="5661" width="10.28515625" style="13" customWidth="1"/>
    <col min="5662" max="5662" width="10.5703125" style="13" customWidth="1"/>
    <col min="5663" max="5905" width="9.140625" style="13"/>
    <col min="5906" max="5906" width="19.7109375" style="13" customWidth="1"/>
    <col min="5907" max="5907" width="22.42578125" style="13" customWidth="1"/>
    <col min="5908" max="5909" width="6.7109375" style="13" customWidth="1"/>
    <col min="5910" max="5910" width="8.7109375" style="13" customWidth="1"/>
    <col min="5911" max="5911" width="10" style="13" customWidth="1"/>
    <col min="5912" max="5912" width="10.5703125" style="13" customWidth="1"/>
    <col min="5913" max="5913" width="9.140625" style="13"/>
    <col min="5914" max="5915" width="10.140625" style="13" customWidth="1"/>
    <col min="5916" max="5916" width="9.140625" style="13"/>
    <col min="5917" max="5917" width="10.28515625" style="13" customWidth="1"/>
    <col min="5918" max="5918" width="10.5703125" style="13" customWidth="1"/>
    <col min="5919" max="6161" width="9.140625" style="13"/>
    <col min="6162" max="6162" width="19.7109375" style="13" customWidth="1"/>
    <col min="6163" max="6163" width="22.42578125" style="13" customWidth="1"/>
    <col min="6164" max="6165" width="6.7109375" style="13" customWidth="1"/>
    <col min="6166" max="6166" width="8.7109375" style="13" customWidth="1"/>
    <col min="6167" max="6167" width="10" style="13" customWidth="1"/>
    <col min="6168" max="6168" width="10.5703125" style="13" customWidth="1"/>
    <col min="6169" max="6169" width="9.140625" style="13"/>
    <col min="6170" max="6171" width="10.140625" style="13" customWidth="1"/>
    <col min="6172" max="6172" width="9.140625" style="13"/>
    <col min="6173" max="6173" width="10.28515625" style="13" customWidth="1"/>
    <col min="6174" max="6174" width="10.5703125" style="13" customWidth="1"/>
    <col min="6175" max="6417" width="9.140625" style="13"/>
    <col min="6418" max="6418" width="19.7109375" style="13" customWidth="1"/>
    <col min="6419" max="6419" width="22.42578125" style="13" customWidth="1"/>
    <col min="6420" max="6421" width="6.7109375" style="13" customWidth="1"/>
    <col min="6422" max="6422" width="8.7109375" style="13" customWidth="1"/>
    <col min="6423" max="6423" width="10" style="13" customWidth="1"/>
    <col min="6424" max="6424" width="10.5703125" style="13" customWidth="1"/>
    <col min="6425" max="6425" width="9.140625" style="13"/>
    <col min="6426" max="6427" width="10.140625" style="13" customWidth="1"/>
    <col min="6428" max="6428" width="9.140625" style="13"/>
    <col min="6429" max="6429" width="10.28515625" style="13" customWidth="1"/>
    <col min="6430" max="6430" width="10.5703125" style="13" customWidth="1"/>
    <col min="6431" max="6673" width="9.140625" style="13"/>
    <col min="6674" max="6674" width="19.7109375" style="13" customWidth="1"/>
    <col min="6675" max="6675" width="22.42578125" style="13" customWidth="1"/>
    <col min="6676" max="6677" width="6.7109375" style="13" customWidth="1"/>
    <col min="6678" max="6678" width="8.7109375" style="13" customWidth="1"/>
    <col min="6679" max="6679" width="10" style="13" customWidth="1"/>
    <col min="6680" max="6680" width="10.5703125" style="13" customWidth="1"/>
    <col min="6681" max="6681" width="9.140625" style="13"/>
    <col min="6682" max="6683" width="10.140625" style="13" customWidth="1"/>
    <col min="6684" max="6684" width="9.140625" style="13"/>
    <col min="6685" max="6685" width="10.28515625" style="13" customWidth="1"/>
    <col min="6686" max="6686" width="10.5703125" style="13" customWidth="1"/>
    <col min="6687" max="6929" width="9.140625" style="13"/>
    <col min="6930" max="6930" width="19.7109375" style="13" customWidth="1"/>
    <col min="6931" max="6931" width="22.42578125" style="13" customWidth="1"/>
    <col min="6932" max="6933" width="6.7109375" style="13" customWidth="1"/>
    <col min="6934" max="6934" width="8.7109375" style="13" customWidth="1"/>
    <col min="6935" max="6935" width="10" style="13" customWidth="1"/>
    <col min="6936" max="6936" width="10.5703125" style="13" customWidth="1"/>
    <col min="6937" max="6937" width="9.140625" style="13"/>
    <col min="6938" max="6939" width="10.140625" style="13" customWidth="1"/>
    <col min="6940" max="6940" width="9.140625" style="13"/>
    <col min="6941" max="6941" width="10.28515625" style="13" customWidth="1"/>
    <col min="6942" max="6942" width="10.5703125" style="13" customWidth="1"/>
    <col min="6943" max="7185" width="9.140625" style="13"/>
    <col min="7186" max="7186" width="19.7109375" style="13" customWidth="1"/>
    <col min="7187" max="7187" width="22.42578125" style="13" customWidth="1"/>
    <col min="7188" max="7189" width="6.7109375" style="13" customWidth="1"/>
    <col min="7190" max="7190" width="8.7109375" style="13" customWidth="1"/>
    <col min="7191" max="7191" width="10" style="13" customWidth="1"/>
    <col min="7192" max="7192" width="10.5703125" style="13" customWidth="1"/>
    <col min="7193" max="7193" width="9.140625" style="13"/>
    <col min="7194" max="7195" width="10.140625" style="13" customWidth="1"/>
    <col min="7196" max="7196" width="9.140625" style="13"/>
    <col min="7197" max="7197" width="10.28515625" style="13" customWidth="1"/>
    <col min="7198" max="7198" width="10.5703125" style="13" customWidth="1"/>
    <col min="7199" max="7441" width="9.140625" style="13"/>
    <col min="7442" max="7442" width="19.7109375" style="13" customWidth="1"/>
    <col min="7443" max="7443" width="22.42578125" style="13" customWidth="1"/>
    <col min="7444" max="7445" width="6.7109375" style="13" customWidth="1"/>
    <col min="7446" max="7446" width="8.7109375" style="13" customWidth="1"/>
    <col min="7447" max="7447" width="10" style="13" customWidth="1"/>
    <col min="7448" max="7448" width="10.5703125" style="13" customWidth="1"/>
    <col min="7449" max="7449" width="9.140625" style="13"/>
    <col min="7450" max="7451" width="10.140625" style="13" customWidth="1"/>
    <col min="7452" max="7452" width="9.140625" style="13"/>
    <col min="7453" max="7453" width="10.28515625" style="13" customWidth="1"/>
    <col min="7454" max="7454" width="10.5703125" style="13" customWidth="1"/>
    <col min="7455" max="7697" width="9.140625" style="13"/>
    <col min="7698" max="7698" width="19.7109375" style="13" customWidth="1"/>
    <col min="7699" max="7699" width="22.42578125" style="13" customWidth="1"/>
    <col min="7700" max="7701" width="6.7109375" style="13" customWidth="1"/>
    <col min="7702" max="7702" width="8.7109375" style="13" customWidth="1"/>
    <col min="7703" max="7703" width="10" style="13" customWidth="1"/>
    <col min="7704" max="7704" width="10.5703125" style="13" customWidth="1"/>
    <col min="7705" max="7705" width="9.140625" style="13"/>
    <col min="7706" max="7707" width="10.140625" style="13" customWidth="1"/>
    <col min="7708" max="7708" width="9.140625" style="13"/>
    <col min="7709" max="7709" width="10.28515625" style="13" customWidth="1"/>
    <col min="7710" max="7710" width="10.5703125" style="13" customWidth="1"/>
    <col min="7711" max="7953" width="9.140625" style="13"/>
    <col min="7954" max="7954" width="19.7109375" style="13" customWidth="1"/>
    <col min="7955" max="7955" width="22.42578125" style="13" customWidth="1"/>
    <col min="7956" max="7957" width="6.7109375" style="13" customWidth="1"/>
    <col min="7958" max="7958" width="8.7109375" style="13" customWidth="1"/>
    <col min="7959" max="7959" width="10" style="13" customWidth="1"/>
    <col min="7960" max="7960" width="10.5703125" style="13" customWidth="1"/>
    <col min="7961" max="7961" width="9.140625" style="13"/>
    <col min="7962" max="7963" width="10.140625" style="13" customWidth="1"/>
    <col min="7964" max="7964" width="9.140625" style="13"/>
    <col min="7965" max="7965" width="10.28515625" style="13" customWidth="1"/>
    <col min="7966" max="7966" width="10.5703125" style="13" customWidth="1"/>
    <col min="7967" max="8209" width="9.140625" style="13"/>
    <col min="8210" max="8210" width="19.7109375" style="13" customWidth="1"/>
    <col min="8211" max="8211" width="22.42578125" style="13" customWidth="1"/>
    <col min="8212" max="8213" width="6.7109375" style="13" customWidth="1"/>
    <col min="8214" max="8214" width="8.7109375" style="13" customWidth="1"/>
    <col min="8215" max="8215" width="10" style="13" customWidth="1"/>
    <col min="8216" max="8216" width="10.5703125" style="13" customWidth="1"/>
    <col min="8217" max="8217" width="9.140625" style="13"/>
    <col min="8218" max="8219" width="10.140625" style="13" customWidth="1"/>
    <col min="8220" max="8220" width="9.140625" style="13"/>
    <col min="8221" max="8221" width="10.28515625" style="13" customWidth="1"/>
    <col min="8222" max="8222" width="10.5703125" style="13" customWidth="1"/>
    <col min="8223" max="8465" width="9.140625" style="13"/>
    <col min="8466" max="8466" width="19.7109375" style="13" customWidth="1"/>
    <col min="8467" max="8467" width="22.42578125" style="13" customWidth="1"/>
    <col min="8468" max="8469" width="6.7109375" style="13" customWidth="1"/>
    <col min="8470" max="8470" width="8.7109375" style="13" customWidth="1"/>
    <col min="8471" max="8471" width="10" style="13" customWidth="1"/>
    <col min="8472" max="8472" width="10.5703125" style="13" customWidth="1"/>
    <col min="8473" max="8473" width="9.140625" style="13"/>
    <col min="8474" max="8475" width="10.140625" style="13" customWidth="1"/>
    <col min="8476" max="8476" width="9.140625" style="13"/>
    <col min="8477" max="8477" width="10.28515625" style="13" customWidth="1"/>
    <col min="8478" max="8478" width="10.5703125" style="13" customWidth="1"/>
    <col min="8479" max="8721" width="9.140625" style="13"/>
    <col min="8722" max="8722" width="19.7109375" style="13" customWidth="1"/>
    <col min="8723" max="8723" width="22.42578125" style="13" customWidth="1"/>
    <col min="8724" max="8725" width="6.7109375" style="13" customWidth="1"/>
    <col min="8726" max="8726" width="8.7109375" style="13" customWidth="1"/>
    <col min="8727" max="8727" width="10" style="13" customWidth="1"/>
    <col min="8728" max="8728" width="10.5703125" style="13" customWidth="1"/>
    <col min="8729" max="8729" width="9.140625" style="13"/>
    <col min="8730" max="8731" width="10.140625" style="13" customWidth="1"/>
    <col min="8732" max="8732" width="9.140625" style="13"/>
    <col min="8733" max="8733" width="10.28515625" style="13" customWidth="1"/>
    <col min="8734" max="8734" width="10.5703125" style="13" customWidth="1"/>
    <col min="8735" max="8977" width="9.140625" style="13"/>
    <col min="8978" max="8978" width="19.7109375" style="13" customWidth="1"/>
    <col min="8979" max="8979" width="22.42578125" style="13" customWidth="1"/>
    <col min="8980" max="8981" width="6.7109375" style="13" customWidth="1"/>
    <col min="8982" max="8982" width="8.7109375" style="13" customWidth="1"/>
    <col min="8983" max="8983" width="10" style="13" customWidth="1"/>
    <col min="8984" max="8984" width="10.5703125" style="13" customWidth="1"/>
    <col min="8985" max="8985" width="9.140625" style="13"/>
    <col min="8986" max="8987" width="10.140625" style="13" customWidth="1"/>
    <col min="8988" max="8988" width="9.140625" style="13"/>
    <col min="8989" max="8989" width="10.28515625" style="13" customWidth="1"/>
    <col min="8990" max="8990" width="10.5703125" style="13" customWidth="1"/>
    <col min="8991" max="9233" width="9.140625" style="13"/>
    <col min="9234" max="9234" width="19.7109375" style="13" customWidth="1"/>
    <col min="9235" max="9235" width="22.42578125" style="13" customWidth="1"/>
    <col min="9236" max="9237" width="6.7109375" style="13" customWidth="1"/>
    <col min="9238" max="9238" width="8.7109375" style="13" customWidth="1"/>
    <col min="9239" max="9239" width="10" style="13" customWidth="1"/>
    <col min="9240" max="9240" width="10.5703125" style="13" customWidth="1"/>
    <col min="9241" max="9241" width="9.140625" style="13"/>
    <col min="9242" max="9243" width="10.140625" style="13" customWidth="1"/>
    <col min="9244" max="9244" width="9.140625" style="13"/>
    <col min="9245" max="9245" width="10.28515625" style="13" customWidth="1"/>
    <col min="9246" max="9246" width="10.5703125" style="13" customWidth="1"/>
    <col min="9247" max="9489" width="9.140625" style="13"/>
    <col min="9490" max="9490" width="19.7109375" style="13" customWidth="1"/>
    <col min="9491" max="9491" width="22.42578125" style="13" customWidth="1"/>
    <col min="9492" max="9493" width="6.7109375" style="13" customWidth="1"/>
    <col min="9494" max="9494" width="8.7109375" style="13" customWidth="1"/>
    <col min="9495" max="9495" width="10" style="13" customWidth="1"/>
    <col min="9496" max="9496" width="10.5703125" style="13" customWidth="1"/>
    <col min="9497" max="9497" width="9.140625" style="13"/>
    <col min="9498" max="9499" width="10.140625" style="13" customWidth="1"/>
    <col min="9500" max="9500" width="9.140625" style="13"/>
    <col min="9501" max="9501" width="10.28515625" style="13" customWidth="1"/>
    <col min="9502" max="9502" width="10.5703125" style="13" customWidth="1"/>
    <col min="9503" max="9745" width="9.140625" style="13"/>
    <col min="9746" max="9746" width="19.7109375" style="13" customWidth="1"/>
    <col min="9747" max="9747" width="22.42578125" style="13" customWidth="1"/>
    <col min="9748" max="9749" width="6.7109375" style="13" customWidth="1"/>
    <col min="9750" max="9750" width="8.7109375" style="13" customWidth="1"/>
    <col min="9751" max="9751" width="10" style="13" customWidth="1"/>
    <col min="9752" max="9752" width="10.5703125" style="13" customWidth="1"/>
    <col min="9753" max="9753" width="9.140625" style="13"/>
    <col min="9754" max="9755" width="10.140625" style="13" customWidth="1"/>
    <col min="9756" max="9756" width="9.140625" style="13"/>
    <col min="9757" max="9757" width="10.28515625" style="13" customWidth="1"/>
    <col min="9758" max="9758" width="10.5703125" style="13" customWidth="1"/>
    <col min="9759" max="10001" width="9.140625" style="13"/>
    <col min="10002" max="10002" width="19.7109375" style="13" customWidth="1"/>
    <col min="10003" max="10003" width="22.42578125" style="13" customWidth="1"/>
    <col min="10004" max="10005" width="6.7109375" style="13" customWidth="1"/>
    <col min="10006" max="10006" width="8.7109375" style="13" customWidth="1"/>
    <col min="10007" max="10007" width="10" style="13" customWidth="1"/>
    <col min="10008" max="10008" width="10.5703125" style="13" customWidth="1"/>
    <col min="10009" max="10009" width="9.140625" style="13"/>
    <col min="10010" max="10011" width="10.140625" style="13" customWidth="1"/>
    <col min="10012" max="10012" width="9.140625" style="13"/>
    <col min="10013" max="10013" width="10.28515625" style="13" customWidth="1"/>
    <col min="10014" max="10014" width="10.5703125" style="13" customWidth="1"/>
    <col min="10015" max="10257" width="9.140625" style="13"/>
    <col min="10258" max="10258" width="19.7109375" style="13" customWidth="1"/>
    <col min="10259" max="10259" width="22.42578125" style="13" customWidth="1"/>
    <col min="10260" max="10261" width="6.7109375" style="13" customWidth="1"/>
    <col min="10262" max="10262" width="8.7109375" style="13" customWidth="1"/>
    <col min="10263" max="10263" width="10" style="13" customWidth="1"/>
    <col min="10264" max="10264" width="10.5703125" style="13" customWidth="1"/>
    <col min="10265" max="10265" width="9.140625" style="13"/>
    <col min="10266" max="10267" width="10.140625" style="13" customWidth="1"/>
    <col min="10268" max="10268" width="9.140625" style="13"/>
    <col min="10269" max="10269" width="10.28515625" style="13" customWidth="1"/>
    <col min="10270" max="10270" width="10.5703125" style="13" customWidth="1"/>
    <col min="10271" max="10513" width="9.140625" style="13"/>
    <col min="10514" max="10514" width="19.7109375" style="13" customWidth="1"/>
    <col min="10515" max="10515" width="22.42578125" style="13" customWidth="1"/>
    <col min="10516" max="10517" width="6.7109375" style="13" customWidth="1"/>
    <col min="10518" max="10518" width="8.7109375" style="13" customWidth="1"/>
    <col min="10519" max="10519" width="10" style="13" customWidth="1"/>
    <col min="10520" max="10520" width="10.5703125" style="13" customWidth="1"/>
    <col min="10521" max="10521" width="9.140625" style="13"/>
    <col min="10522" max="10523" width="10.140625" style="13" customWidth="1"/>
    <col min="10524" max="10524" width="9.140625" style="13"/>
    <col min="10525" max="10525" width="10.28515625" style="13" customWidth="1"/>
    <col min="10526" max="10526" width="10.5703125" style="13" customWidth="1"/>
    <col min="10527" max="10769" width="9.140625" style="13"/>
    <col min="10770" max="10770" width="19.7109375" style="13" customWidth="1"/>
    <col min="10771" max="10771" width="22.42578125" style="13" customWidth="1"/>
    <col min="10772" max="10773" width="6.7109375" style="13" customWidth="1"/>
    <col min="10774" max="10774" width="8.7109375" style="13" customWidth="1"/>
    <col min="10775" max="10775" width="10" style="13" customWidth="1"/>
    <col min="10776" max="10776" width="10.5703125" style="13" customWidth="1"/>
    <col min="10777" max="10777" width="9.140625" style="13"/>
    <col min="10778" max="10779" width="10.140625" style="13" customWidth="1"/>
    <col min="10780" max="10780" width="9.140625" style="13"/>
    <col min="10781" max="10781" width="10.28515625" style="13" customWidth="1"/>
    <col min="10782" max="10782" width="10.5703125" style="13" customWidth="1"/>
    <col min="10783" max="11025" width="9.140625" style="13"/>
    <col min="11026" max="11026" width="19.7109375" style="13" customWidth="1"/>
    <col min="11027" max="11027" width="22.42578125" style="13" customWidth="1"/>
    <col min="11028" max="11029" width="6.7109375" style="13" customWidth="1"/>
    <col min="11030" max="11030" width="8.7109375" style="13" customWidth="1"/>
    <col min="11031" max="11031" width="10" style="13" customWidth="1"/>
    <col min="11032" max="11032" width="10.5703125" style="13" customWidth="1"/>
    <col min="11033" max="11033" width="9.140625" style="13"/>
    <col min="11034" max="11035" width="10.140625" style="13" customWidth="1"/>
    <col min="11036" max="11036" width="9.140625" style="13"/>
    <col min="11037" max="11037" width="10.28515625" style="13" customWidth="1"/>
    <col min="11038" max="11038" width="10.5703125" style="13" customWidth="1"/>
    <col min="11039" max="11281" width="9.140625" style="13"/>
    <col min="11282" max="11282" width="19.7109375" style="13" customWidth="1"/>
    <col min="11283" max="11283" width="22.42578125" style="13" customWidth="1"/>
    <col min="11284" max="11285" width="6.7109375" style="13" customWidth="1"/>
    <col min="11286" max="11286" width="8.7109375" style="13" customWidth="1"/>
    <col min="11287" max="11287" width="10" style="13" customWidth="1"/>
    <col min="11288" max="11288" width="10.5703125" style="13" customWidth="1"/>
    <col min="11289" max="11289" width="9.140625" style="13"/>
    <col min="11290" max="11291" width="10.140625" style="13" customWidth="1"/>
    <col min="11292" max="11292" width="9.140625" style="13"/>
    <col min="11293" max="11293" width="10.28515625" style="13" customWidth="1"/>
    <col min="11294" max="11294" width="10.5703125" style="13" customWidth="1"/>
    <col min="11295" max="11537" width="9.140625" style="13"/>
    <col min="11538" max="11538" width="19.7109375" style="13" customWidth="1"/>
    <col min="11539" max="11539" width="22.42578125" style="13" customWidth="1"/>
    <col min="11540" max="11541" width="6.7109375" style="13" customWidth="1"/>
    <col min="11542" max="11542" width="8.7109375" style="13" customWidth="1"/>
    <col min="11543" max="11543" width="10" style="13" customWidth="1"/>
    <col min="11544" max="11544" width="10.5703125" style="13" customWidth="1"/>
    <col min="11545" max="11545" width="9.140625" style="13"/>
    <col min="11546" max="11547" width="10.140625" style="13" customWidth="1"/>
    <col min="11548" max="11548" width="9.140625" style="13"/>
    <col min="11549" max="11549" width="10.28515625" style="13" customWidth="1"/>
    <col min="11550" max="11550" width="10.5703125" style="13" customWidth="1"/>
    <col min="11551" max="11793" width="9.140625" style="13"/>
    <col min="11794" max="11794" width="19.7109375" style="13" customWidth="1"/>
    <col min="11795" max="11795" width="22.42578125" style="13" customWidth="1"/>
    <col min="11796" max="11797" width="6.7109375" style="13" customWidth="1"/>
    <col min="11798" max="11798" width="8.7109375" style="13" customWidth="1"/>
    <col min="11799" max="11799" width="10" style="13" customWidth="1"/>
    <col min="11800" max="11800" width="10.5703125" style="13" customWidth="1"/>
    <col min="11801" max="11801" width="9.140625" style="13"/>
    <col min="11802" max="11803" width="10.140625" style="13" customWidth="1"/>
    <col min="11804" max="11804" width="9.140625" style="13"/>
    <col min="11805" max="11805" width="10.28515625" style="13" customWidth="1"/>
    <col min="11806" max="11806" width="10.5703125" style="13" customWidth="1"/>
    <col min="11807" max="12049" width="9.140625" style="13"/>
    <col min="12050" max="12050" width="19.7109375" style="13" customWidth="1"/>
    <col min="12051" max="12051" width="22.42578125" style="13" customWidth="1"/>
    <col min="12052" max="12053" width="6.7109375" style="13" customWidth="1"/>
    <col min="12054" max="12054" width="8.7109375" style="13" customWidth="1"/>
    <col min="12055" max="12055" width="10" style="13" customWidth="1"/>
    <col min="12056" max="12056" width="10.5703125" style="13" customWidth="1"/>
    <col min="12057" max="12057" width="9.140625" style="13"/>
    <col min="12058" max="12059" width="10.140625" style="13" customWidth="1"/>
    <col min="12060" max="12060" width="9.140625" style="13"/>
    <col min="12061" max="12061" width="10.28515625" style="13" customWidth="1"/>
    <col min="12062" max="12062" width="10.5703125" style="13" customWidth="1"/>
    <col min="12063" max="12305" width="9.140625" style="13"/>
    <col min="12306" max="12306" width="19.7109375" style="13" customWidth="1"/>
    <col min="12307" max="12307" width="22.42578125" style="13" customWidth="1"/>
    <col min="12308" max="12309" width="6.7109375" style="13" customWidth="1"/>
    <col min="12310" max="12310" width="8.7109375" style="13" customWidth="1"/>
    <col min="12311" max="12311" width="10" style="13" customWidth="1"/>
    <col min="12312" max="12312" width="10.5703125" style="13" customWidth="1"/>
    <col min="12313" max="12313" width="9.140625" style="13"/>
    <col min="12314" max="12315" width="10.140625" style="13" customWidth="1"/>
    <col min="12316" max="12316" width="9.140625" style="13"/>
    <col min="12317" max="12317" width="10.28515625" style="13" customWidth="1"/>
    <col min="12318" max="12318" width="10.5703125" style="13" customWidth="1"/>
    <col min="12319" max="12561" width="9.140625" style="13"/>
    <col min="12562" max="12562" width="19.7109375" style="13" customWidth="1"/>
    <col min="12563" max="12563" width="22.42578125" style="13" customWidth="1"/>
    <col min="12564" max="12565" width="6.7109375" style="13" customWidth="1"/>
    <col min="12566" max="12566" width="8.7109375" style="13" customWidth="1"/>
    <col min="12567" max="12567" width="10" style="13" customWidth="1"/>
    <col min="12568" max="12568" width="10.5703125" style="13" customWidth="1"/>
    <col min="12569" max="12569" width="9.140625" style="13"/>
    <col min="12570" max="12571" width="10.140625" style="13" customWidth="1"/>
    <col min="12572" max="12572" width="9.140625" style="13"/>
    <col min="12573" max="12573" width="10.28515625" style="13" customWidth="1"/>
    <col min="12574" max="12574" width="10.5703125" style="13" customWidth="1"/>
    <col min="12575" max="12817" width="9.140625" style="13"/>
    <col min="12818" max="12818" width="19.7109375" style="13" customWidth="1"/>
    <col min="12819" max="12819" width="22.42578125" style="13" customWidth="1"/>
    <col min="12820" max="12821" width="6.7109375" style="13" customWidth="1"/>
    <col min="12822" max="12822" width="8.7109375" style="13" customWidth="1"/>
    <col min="12823" max="12823" width="10" style="13" customWidth="1"/>
    <col min="12824" max="12824" width="10.5703125" style="13" customWidth="1"/>
    <col min="12825" max="12825" width="9.140625" style="13"/>
    <col min="12826" max="12827" width="10.140625" style="13" customWidth="1"/>
    <col min="12828" max="12828" width="9.140625" style="13"/>
    <col min="12829" max="12829" width="10.28515625" style="13" customWidth="1"/>
    <col min="12830" max="12830" width="10.5703125" style="13" customWidth="1"/>
    <col min="12831" max="13073" width="9.140625" style="13"/>
    <col min="13074" max="13074" width="19.7109375" style="13" customWidth="1"/>
    <col min="13075" max="13075" width="22.42578125" style="13" customWidth="1"/>
    <col min="13076" max="13077" width="6.7109375" style="13" customWidth="1"/>
    <col min="13078" max="13078" width="8.7109375" style="13" customWidth="1"/>
    <col min="13079" max="13079" width="10" style="13" customWidth="1"/>
    <col min="13080" max="13080" width="10.5703125" style="13" customWidth="1"/>
    <col min="13081" max="13081" width="9.140625" style="13"/>
    <col min="13082" max="13083" width="10.140625" style="13" customWidth="1"/>
    <col min="13084" max="13084" width="9.140625" style="13"/>
    <col min="13085" max="13085" width="10.28515625" style="13" customWidth="1"/>
    <col min="13086" max="13086" width="10.5703125" style="13" customWidth="1"/>
    <col min="13087" max="13329" width="9.140625" style="13"/>
    <col min="13330" max="13330" width="19.7109375" style="13" customWidth="1"/>
    <col min="13331" max="13331" width="22.42578125" style="13" customWidth="1"/>
    <col min="13332" max="13333" width="6.7109375" style="13" customWidth="1"/>
    <col min="13334" max="13334" width="8.7109375" style="13" customWidth="1"/>
    <col min="13335" max="13335" width="10" style="13" customWidth="1"/>
    <col min="13336" max="13336" width="10.5703125" style="13" customWidth="1"/>
    <col min="13337" max="13337" width="9.140625" style="13"/>
    <col min="13338" max="13339" width="10.140625" style="13" customWidth="1"/>
    <col min="13340" max="13340" width="9.140625" style="13"/>
    <col min="13341" max="13341" width="10.28515625" style="13" customWidth="1"/>
    <col min="13342" max="13342" width="10.5703125" style="13" customWidth="1"/>
    <col min="13343" max="13585" width="9.140625" style="13"/>
    <col min="13586" max="13586" width="19.7109375" style="13" customWidth="1"/>
    <col min="13587" max="13587" width="22.42578125" style="13" customWidth="1"/>
    <col min="13588" max="13589" width="6.7109375" style="13" customWidth="1"/>
    <col min="13590" max="13590" width="8.7109375" style="13" customWidth="1"/>
    <col min="13591" max="13591" width="10" style="13" customWidth="1"/>
    <col min="13592" max="13592" width="10.5703125" style="13" customWidth="1"/>
    <col min="13593" max="13593" width="9.140625" style="13"/>
    <col min="13594" max="13595" width="10.140625" style="13" customWidth="1"/>
    <col min="13596" max="13596" width="9.140625" style="13"/>
    <col min="13597" max="13597" width="10.28515625" style="13" customWidth="1"/>
    <col min="13598" max="13598" width="10.5703125" style="13" customWidth="1"/>
    <col min="13599" max="13841" width="9.140625" style="13"/>
    <col min="13842" max="13842" width="19.7109375" style="13" customWidth="1"/>
    <col min="13843" max="13843" width="22.42578125" style="13" customWidth="1"/>
    <col min="13844" max="13845" width="6.7109375" style="13" customWidth="1"/>
    <col min="13846" max="13846" width="8.7109375" style="13" customWidth="1"/>
    <col min="13847" max="13847" width="10" style="13" customWidth="1"/>
    <col min="13848" max="13848" width="10.5703125" style="13" customWidth="1"/>
    <col min="13849" max="13849" width="9.140625" style="13"/>
    <col min="13850" max="13851" width="10.140625" style="13" customWidth="1"/>
    <col min="13852" max="13852" width="9.140625" style="13"/>
    <col min="13853" max="13853" width="10.28515625" style="13" customWidth="1"/>
    <col min="13854" max="13854" width="10.5703125" style="13" customWidth="1"/>
    <col min="13855" max="14097" width="9.140625" style="13"/>
    <col min="14098" max="14098" width="19.7109375" style="13" customWidth="1"/>
    <col min="14099" max="14099" width="22.42578125" style="13" customWidth="1"/>
    <col min="14100" max="14101" width="6.7109375" style="13" customWidth="1"/>
    <col min="14102" max="14102" width="8.7109375" style="13" customWidth="1"/>
    <col min="14103" max="14103" width="10" style="13" customWidth="1"/>
    <col min="14104" max="14104" width="10.5703125" style="13" customWidth="1"/>
    <col min="14105" max="14105" width="9.140625" style="13"/>
    <col min="14106" max="14107" width="10.140625" style="13" customWidth="1"/>
    <col min="14108" max="14108" width="9.140625" style="13"/>
    <col min="14109" max="14109" width="10.28515625" style="13" customWidth="1"/>
    <col min="14110" max="14110" width="10.5703125" style="13" customWidth="1"/>
    <col min="14111" max="14353" width="9.140625" style="13"/>
    <col min="14354" max="14354" width="19.7109375" style="13" customWidth="1"/>
    <col min="14355" max="14355" width="22.42578125" style="13" customWidth="1"/>
    <col min="14356" max="14357" width="6.7109375" style="13" customWidth="1"/>
    <col min="14358" max="14358" width="8.7109375" style="13" customWidth="1"/>
    <col min="14359" max="14359" width="10" style="13" customWidth="1"/>
    <col min="14360" max="14360" width="10.5703125" style="13" customWidth="1"/>
    <col min="14361" max="14361" width="9.140625" style="13"/>
    <col min="14362" max="14363" width="10.140625" style="13" customWidth="1"/>
    <col min="14364" max="14364" width="9.140625" style="13"/>
    <col min="14365" max="14365" width="10.28515625" style="13" customWidth="1"/>
    <col min="14366" max="14366" width="10.5703125" style="13" customWidth="1"/>
    <col min="14367" max="14609" width="9.140625" style="13"/>
    <col min="14610" max="14610" width="19.7109375" style="13" customWidth="1"/>
    <col min="14611" max="14611" width="22.42578125" style="13" customWidth="1"/>
    <col min="14612" max="14613" width="6.7109375" style="13" customWidth="1"/>
    <col min="14614" max="14614" width="8.7109375" style="13" customWidth="1"/>
    <col min="14615" max="14615" width="10" style="13" customWidth="1"/>
    <col min="14616" max="14616" width="10.5703125" style="13" customWidth="1"/>
    <col min="14617" max="14617" width="9.140625" style="13"/>
    <col min="14618" max="14619" width="10.140625" style="13" customWidth="1"/>
    <col min="14620" max="14620" width="9.140625" style="13"/>
    <col min="14621" max="14621" width="10.28515625" style="13" customWidth="1"/>
    <col min="14622" max="14622" width="10.5703125" style="13" customWidth="1"/>
    <col min="14623" max="14865" width="9.140625" style="13"/>
    <col min="14866" max="14866" width="19.7109375" style="13" customWidth="1"/>
    <col min="14867" max="14867" width="22.42578125" style="13" customWidth="1"/>
    <col min="14868" max="14869" width="6.7109375" style="13" customWidth="1"/>
    <col min="14870" max="14870" width="8.7109375" style="13" customWidth="1"/>
    <col min="14871" max="14871" width="10" style="13" customWidth="1"/>
    <col min="14872" max="14872" width="10.5703125" style="13" customWidth="1"/>
    <col min="14873" max="14873" width="9.140625" style="13"/>
    <col min="14874" max="14875" width="10.140625" style="13" customWidth="1"/>
    <col min="14876" max="14876" width="9.140625" style="13"/>
    <col min="14877" max="14877" width="10.28515625" style="13" customWidth="1"/>
    <col min="14878" max="14878" width="10.5703125" style="13" customWidth="1"/>
    <col min="14879" max="15121" width="9.140625" style="13"/>
    <col min="15122" max="15122" width="19.7109375" style="13" customWidth="1"/>
    <col min="15123" max="15123" width="22.42578125" style="13" customWidth="1"/>
    <col min="15124" max="15125" width="6.7109375" style="13" customWidth="1"/>
    <col min="15126" max="15126" width="8.7109375" style="13" customWidth="1"/>
    <col min="15127" max="15127" width="10" style="13" customWidth="1"/>
    <col min="15128" max="15128" width="10.5703125" style="13" customWidth="1"/>
    <col min="15129" max="15129" width="9.140625" style="13"/>
    <col min="15130" max="15131" width="10.140625" style="13" customWidth="1"/>
    <col min="15132" max="15132" width="9.140625" style="13"/>
    <col min="15133" max="15133" width="10.28515625" style="13" customWidth="1"/>
    <col min="15134" max="15134" width="10.5703125" style="13" customWidth="1"/>
    <col min="15135" max="15377" width="9.140625" style="13"/>
    <col min="15378" max="15378" width="19.7109375" style="13" customWidth="1"/>
    <col min="15379" max="15379" width="22.42578125" style="13" customWidth="1"/>
    <col min="15380" max="15381" width="6.7109375" style="13" customWidth="1"/>
    <col min="15382" max="15382" width="8.7109375" style="13" customWidth="1"/>
    <col min="15383" max="15383" width="10" style="13" customWidth="1"/>
    <col min="15384" max="15384" width="10.5703125" style="13" customWidth="1"/>
    <col min="15385" max="15385" width="9.140625" style="13"/>
    <col min="15386" max="15387" width="10.140625" style="13" customWidth="1"/>
    <col min="15388" max="15388" width="9.140625" style="13"/>
    <col min="15389" max="15389" width="10.28515625" style="13" customWidth="1"/>
    <col min="15390" max="15390" width="10.5703125" style="13" customWidth="1"/>
    <col min="15391" max="15633" width="9.140625" style="13"/>
    <col min="15634" max="15634" width="19.7109375" style="13" customWidth="1"/>
    <col min="15635" max="15635" width="22.42578125" style="13" customWidth="1"/>
    <col min="15636" max="15637" width="6.7109375" style="13" customWidth="1"/>
    <col min="15638" max="15638" width="8.7109375" style="13" customWidth="1"/>
    <col min="15639" max="15639" width="10" style="13" customWidth="1"/>
    <col min="15640" max="15640" width="10.5703125" style="13" customWidth="1"/>
    <col min="15641" max="15641" width="9.140625" style="13"/>
    <col min="15642" max="15643" width="10.140625" style="13" customWidth="1"/>
    <col min="15644" max="15644" width="9.140625" style="13"/>
    <col min="15645" max="15645" width="10.28515625" style="13" customWidth="1"/>
    <col min="15646" max="15646" width="10.5703125" style="13" customWidth="1"/>
    <col min="15647" max="15889" width="9.140625" style="13"/>
    <col min="15890" max="15890" width="19.7109375" style="13" customWidth="1"/>
    <col min="15891" max="15891" width="22.42578125" style="13" customWidth="1"/>
    <col min="15892" max="15893" width="6.7109375" style="13" customWidth="1"/>
    <col min="15894" max="15894" width="8.7109375" style="13" customWidth="1"/>
    <col min="15895" max="15895" width="10" style="13" customWidth="1"/>
    <col min="15896" max="15896" width="10.5703125" style="13" customWidth="1"/>
    <col min="15897" max="15897" width="9.140625" style="13"/>
    <col min="15898" max="15899" width="10.140625" style="13" customWidth="1"/>
    <col min="15900" max="15900" width="9.140625" style="13"/>
    <col min="15901" max="15901" width="10.28515625" style="13" customWidth="1"/>
    <col min="15902" max="15902" width="10.5703125" style="13" customWidth="1"/>
    <col min="15903" max="16145" width="9.140625" style="13"/>
    <col min="16146" max="16146" width="19.7109375" style="13" customWidth="1"/>
    <col min="16147" max="16147" width="22.42578125" style="13" customWidth="1"/>
    <col min="16148" max="16149" width="6.7109375" style="13" customWidth="1"/>
    <col min="16150" max="16150" width="8.7109375" style="13" customWidth="1"/>
    <col min="16151" max="16151" width="10" style="13" customWidth="1"/>
    <col min="16152" max="16152" width="10.5703125" style="13" customWidth="1"/>
    <col min="16153" max="16153" width="9.140625" style="13"/>
    <col min="16154" max="16155" width="10.140625" style="13" customWidth="1"/>
    <col min="16156" max="16156" width="9.140625" style="13"/>
    <col min="16157" max="16157" width="10.28515625" style="13" customWidth="1"/>
    <col min="16158" max="16158" width="10.5703125" style="13" customWidth="1"/>
    <col min="16159" max="16384" width="9.140625" style="13"/>
  </cols>
  <sheetData>
    <row r="1" spans="1:31" ht="15">
      <c r="B1" s="265" t="s">
        <v>13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 ht="29.25" customHeight="1">
      <c r="B2" s="251" t="s">
        <v>108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31">
      <c r="AE3" s="14" t="s">
        <v>9</v>
      </c>
    </row>
    <row r="4" spans="1:31" s="131" customFormat="1" ht="30" customHeight="1">
      <c r="A4" s="266" t="s">
        <v>0</v>
      </c>
      <c r="B4" s="266" t="s">
        <v>15</v>
      </c>
      <c r="C4" s="266" t="s">
        <v>1</v>
      </c>
      <c r="D4" s="266"/>
      <c r="E4" s="266"/>
      <c r="F4" s="266" t="s">
        <v>80</v>
      </c>
      <c r="G4" s="260" t="s">
        <v>10</v>
      </c>
      <c r="H4" s="260"/>
      <c r="I4" s="260"/>
      <c r="J4" s="260" t="s">
        <v>11</v>
      </c>
      <c r="K4" s="260"/>
      <c r="L4" s="260"/>
      <c r="M4" s="260" t="s">
        <v>12</v>
      </c>
      <c r="N4" s="260"/>
      <c r="O4" s="260"/>
      <c r="P4" s="264" t="s">
        <v>41</v>
      </c>
      <c r="Q4" s="264"/>
      <c r="R4" s="264"/>
      <c r="S4" s="257" t="s">
        <v>110</v>
      </c>
      <c r="T4" s="257"/>
      <c r="U4" s="257"/>
      <c r="V4" s="257" t="s">
        <v>121</v>
      </c>
      <c r="W4" s="257"/>
      <c r="X4" s="257"/>
      <c r="Y4" s="257" t="s">
        <v>141</v>
      </c>
      <c r="Z4" s="257"/>
      <c r="AA4" s="257"/>
      <c r="AB4" s="257" t="s">
        <v>142</v>
      </c>
      <c r="AC4" s="257"/>
      <c r="AD4" s="257"/>
      <c r="AE4" s="263" t="s">
        <v>109</v>
      </c>
    </row>
    <row r="5" spans="1:31" s="131" customFormat="1" ht="15">
      <c r="A5" s="266"/>
      <c r="B5" s="266"/>
      <c r="C5" s="266" t="s">
        <v>2</v>
      </c>
      <c r="D5" s="266" t="s">
        <v>3</v>
      </c>
      <c r="E5" s="266" t="s">
        <v>4</v>
      </c>
      <c r="F5" s="266"/>
      <c r="G5" s="261" t="s">
        <v>5</v>
      </c>
      <c r="H5" s="262" t="s">
        <v>14</v>
      </c>
      <c r="I5" s="262"/>
      <c r="J5" s="261" t="s">
        <v>5</v>
      </c>
      <c r="K5" s="262" t="s">
        <v>14</v>
      </c>
      <c r="L5" s="262"/>
      <c r="M5" s="261" t="s">
        <v>5</v>
      </c>
      <c r="N5" s="262" t="s">
        <v>14</v>
      </c>
      <c r="O5" s="262"/>
      <c r="P5" s="261" t="s">
        <v>5</v>
      </c>
      <c r="Q5" s="262" t="s">
        <v>14</v>
      </c>
      <c r="R5" s="262"/>
      <c r="S5" s="258" t="s">
        <v>5</v>
      </c>
      <c r="T5" s="259" t="s">
        <v>14</v>
      </c>
      <c r="U5" s="259"/>
      <c r="V5" s="258" t="s">
        <v>5</v>
      </c>
      <c r="W5" s="259" t="s">
        <v>14</v>
      </c>
      <c r="X5" s="259"/>
      <c r="Y5" s="258" t="s">
        <v>5</v>
      </c>
      <c r="Z5" s="259" t="s">
        <v>14</v>
      </c>
      <c r="AA5" s="259"/>
      <c r="AB5" s="258" t="s">
        <v>5</v>
      </c>
      <c r="AC5" s="259" t="s">
        <v>14</v>
      </c>
      <c r="AD5" s="259"/>
      <c r="AE5" s="263"/>
    </row>
    <row r="6" spans="1:31" s="131" customFormat="1" ht="42.75" customHeight="1">
      <c r="A6" s="266"/>
      <c r="B6" s="266"/>
      <c r="C6" s="266"/>
      <c r="D6" s="266"/>
      <c r="E6" s="266"/>
      <c r="F6" s="266"/>
      <c r="G6" s="261"/>
      <c r="H6" s="132" t="s">
        <v>6</v>
      </c>
      <c r="I6" s="132" t="s">
        <v>7</v>
      </c>
      <c r="J6" s="261"/>
      <c r="K6" s="132" t="s">
        <v>6</v>
      </c>
      <c r="L6" s="132" t="s">
        <v>7</v>
      </c>
      <c r="M6" s="261"/>
      <c r="N6" s="132" t="s">
        <v>6</v>
      </c>
      <c r="O6" s="132" t="s">
        <v>7</v>
      </c>
      <c r="P6" s="261"/>
      <c r="Q6" s="132" t="s">
        <v>6</v>
      </c>
      <c r="R6" s="132" t="s">
        <v>7</v>
      </c>
      <c r="S6" s="258"/>
      <c r="T6" s="132" t="s">
        <v>6</v>
      </c>
      <c r="U6" s="132" t="s">
        <v>7</v>
      </c>
      <c r="V6" s="258"/>
      <c r="W6" s="132" t="s">
        <v>6</v>
      </c>
      <c r="X6" s="132" t="s">
        <v>7</v>
      </c>
      <c r="Y6" s="258"/>
      <c r="Z6" s="132" t="s">
        <v>6</v>
      </c>
      <c r="AA6" s="132" t="s">
        <v>7</v>
      </c>
      <c r="AB6" s="258"/>
      <c r="AC6" s="132" t="s">
        <v>6</v>
      </c>
      <c r="AD6" s="132" t="s">
        <v>7</v>
      </c>
      <c r="AE6" s="263"/>
    </row>
    <row r="7" spans="1:31" s="131" customFormat="1" ht="15">
      <c r="A7" s="133">
        <v>1</v>
      </c>
      <c r="B7" s="134" t="s">
        <v>53</v>
      </c>
      <c r="C7" s="135" t="s">
        <v>54</v>
      </c>
      <c r="D7" s="136">
        <v>13</v>
      </c>
      <c r="E7" s="136"/>
      <c r="F7" s="130">
        <f>[1]МКД!$H$179</f>
        <v>70</v>
      </c>
      <c r="G7" s="133">
        <f t="shared" ref="G7:G16" si="0">I7+H7</f>
        <v>2032.62</v>
      </c>
      <c r="H7" s="133">
        <v>889.18</v>
      </c>
      <c r="I7" s="133">
        <v>1143.44</v>
      </c>
      <c r="J7" s="133">
        <f t="shared" ref="J7:J17" si="1">L7+K7</f>
        <v>2045.5300000000002</v>
      </c>
      <c r="K7" s="133">
        <v>939.39</v>
      </c>
      <c r="L7" s="133">
        <v>1106.1400000000001</v>
      </c>
      <c r="M7" s="118">
        <f t="shared" ref="M7:M17" si="2">O7+N7</f>
        <v>1203.27</v>
      </c>
      <c r="N7" s="118">
        <v>964.07</v>
      </c>
      <c r="O7" s="118">
        <v>239.2</v>
      </c>
      <c r="P7" s="133">
        <f t="shared" ref="P7:P17" si="3">R7+Q7</f>
        <v>1292.8700000000001</v>
      </c>
      <c r="Q7" s="133">
        <v>1053.67</v>
      </c>
      <c r="R7" s="133">
        <v>239.2</v>
      </c>
      <c r="S7" s="137">
        <f t="shared" ref="S7:S17" si="4">U7+T7</f>
        <v>1527.27</v>
      </c>
      <c r="T7" s="137">
        <v>956.63</v>
      </c>
      <c r="U7" s="137">
        <v>570.64</v>
      </c>
      <c r="V7" s="137">
        <f t="shared" ref="V7:V17" si="5">X7+W7</f>
        <v>1703.42</v>
      </c>
      <c r="W7" s="137">
        <v>1015.97</v>
      </c>
      <c r="X7" s="137">
        <v>687.45</v>
      </c>
      <c r="Y7" s="137">
        <f t="shared" ref="Y7:Y17" si="6">AA7+Z7</f>
        <v>1679.48</v>
      </c>
      <c r="Z7" s="137">
        <v>996.3</v>
      </c>
      <c r="AA7" s="137">
        <v>683.18</v>
      </c>
      <c r="AB7" s="138">
        <f t="shared" ref="AB7:AB17" si="7">AD7+AC7</f>
        <v>1647.3899999999999</v>
      </c>
      <c r="AC7" s="138">
        <v>998.66</v>
      </c>
      <c r="AD7" s="138">
        <v>648.73</v>
      </c>
      <c r="AE7" s="139">
        <f t="shared" ref="AE7:AE17" si="8">AB7/F7</f>
        <v>23.534142857142854</v>
      </c>
    </row>
    <row r="8" spans="1:31" s="131" customFormat="1" ht="15">
      <c r="A8" s="133">
        <f>1+A7</f>
        <v>2</v>
      </c>
      <c r="B8" s="134" t="s">
        <v>53</v>
      </c>
      <c r="C8" s="134" t="s">
        <v>19</v>
      </c>
      <c r="D8" s="140">
        <v>20</v>
      </c>
      <c r="E8" s="134"/>
      <c r="F8" s="103">
        <f>[1]МКД!$H$168</f>
        <v>19</v>
      </c>
      <c r="G8" s="133">
        <f t="shared" si="0"/>
        <v>426.98</v>
      </c>
      <c r="H8" s="133">
        <v>132.5</v>
      </c>
      <c r="I8" s="133">
        <v>294.48</v>
      </c>
      <c r="J8" s="133">
        <f t="shared" si="1"/>
        <v>542.30999999999995</v>
      </c>
      <c r="K8" s="133">
        <v>193.2</v>
      </c>
      <c r="L8" s="133">
        <v>349.11</v>
      </c>
      <c r="M8" s="118">
        <f t="shared" si="2"/>
        <v>519.62</v>
      </c>
      <c r="N8" s="118">
        <v>153.81</v>
      </c>
      <c r="O8" s="118">
        <v>365.81</v>
      </c>
      <c r="P8" s="133">
        <f t="shared" si="3"/>
        <v>513.79999999999995</v>
      </c>
      <c r="Q8" s="133">
        <v>187.75</v>
      </c>
      <c r="R8" s="133">
        <v>326.05</v>
      </c>
      <c r="S8" s="137">
        <f t="shared" si="4"/>
        <v>501.57000000000005</v>
      </c>
      <c r="T8" s="137">
        <v>213.35</v>
      </c>
      <c r="U8" s="137">
        <v>288.22000000000003</v>
      </c>
      <c r="V8" s="137">
        <f t="shared" si="5"/>
        <v>470.25</v>
      </c>
      <c r="W8" s="137">
        <v>201.27</v>
      </c>
      <c r="X8" s="137">
        <v>268.98</v>
      </c>
      <c r="Y8" s="137">
        <f t="shared" si="6"/>
        <v>423.31</v>
      </c>
      <c r="Z8" s="137">
        <v>190.27</v>
      </c>
      <c r="AA8" s="137">
        <v>233.04</v>
      </c>
      <c r="AB8" s="141">
        <f t="shared" si="7"/>
        <v>408.83</v>
      </c>
      <c r="AC8" s="141">
        <v>175.79</v>
      </c>
      <c r="AD8" s="141">
        <v>233.04</v>
      </c>
      <c r="AE8" s="142">
        <f t="shared" si="8"/>
        <v>21.51736842105263</v>
      </c>
    </row>
    <row r="9" spans="1:31" s="131" customFormat="1" ht="15">
      <c r="A9" s="133">
        <f t="shared" ref="A9:A24" si="9">1+A8</f>
        <v>3</v>
      </c>
      <c r="B9" s="134" t="s">
        <v>53</v>
      </c>
      <c r="C9" s="134" t="s">
        <v>56</v>
      </c>
      <c r="D9" s="140">
        <v>21</v>
      </c>
      <c r="E9" s="140">
        <v>2</v>
      </c>
      <c r="F9" s="103">
        <f>[1]МКД!$H$177</f>
        <v>35</v>
      </c>
      <c r="G9" s="133">
        <f t="shared" si="0"/>
        <v>842.52</v>
      </c>
      <c r="H9" s="133">
        <v>542.63</v>
      </c>
      <c r="I9" s="133">
        <v>299.89</v>
      </c>
      <c r="J9" s="133">
        <f t="shared" si="1"/>
        <v>710.36</v>
      </c>
      <c r="K9" s="133">
        <v>472.79</v>
      </c>
      <c r="L9" s="133">
        <v>237.57</v>
      </c>
      <c r="M9" s="118">
        <f t="shared" si="2"/>
        <v>729.18000000000006</v>
      </c>
      <c r="N9" s="118">
        <v>428.14</v>
      </c>
      <c r="O9" s="118">
        <v>301.04000000000002</v>
      </c>
      <c r="P9" s="133">
        <f t="shared" si="3"/>
        <v>729.18000000000006</v>
      </c>
      <c r="Q9" s="133">
        <v>428.14</v>
      </c>
      <c r="R9" s="133">
        <v>301.04000000000002</v>
      </c>
      <c r="S9" s="137">
        <f t="shared" si="4"/>
        <v>776.79</v>
      </c>
      <c r="T9" s="137">
        <v>475.75</v>
      </c>
      <c r="U9" s="137">
        <v>301.04000000000002</v>
      </c>
      <c r="V9" s="137">
        <f t="shared" si="5"/>
        <v>674.36</v>
      </c>
      <c r="W9" s="137">
        <v>490.82</v>
      </c>
      <c r="X9" s="137">
        <v>183.54</v>
      </c>
      <c r="Y9" s="137">
        <f t="shared" si="6"/>
        <v>625.29999999999995</v>
      </c>
      <c r="Z9" s="137">
        <v>480</v>
      </c>
      <c r="AA9" s="137">
        <v>145.30000000000001</v>
      </c>
      <c r="AB9" s="141">
        <f t="shared" si="7"/>
        <v>630.46</v>
      </c>
      <c r="AC9" s="141">
        <v>489.92</v>
      </c>
      <c r="AD9" s="141">
        <v>140.54</v>
      </c>
      <c r="AE9" s="142">
        <f t="shared" si="8"/>
        <v>18.013142857142856</v>
      </c>
    </row>
    <row r="10" spans="1:31" s="131" customFormat="1" ht="15">
      <c r="A10" s="133">
        <f t="shared" si="9"/>
        <v>4</v>
      </c>
      <c r="B10" s="134" t="s">
        <v>53</v>
      </c>
      <c r="C10" s="134" t="s">
        <v>19</v>
      </c>
      <c r="D10" s="140">
        <v>31</v>
      </c>
      <c r="E10" s="140" t="s">
        <v>20</v>
      </c>
      <c r="F10" s="103">
        <f>[1]МКД!$H$169</f>
        <v>60</v>
      </c>
      <c r="G10" s="133">
        <f t="shared" si="0"/>
        <v>1044.52</v>
      </c>
      <c r="H10" s="133">
        <v>329.24</v>
      </c>
      <c r="I10" s="133">
        <v>715.28</v>
      </c>
      <c r="J10" s="133">
        <f t="shared" si="1"/>
        <v>886.57</v>
      </c>
      <c r="K10" s="133">
        <v>258.86</v>
      </c>
      <c r="L10" s="133">
        <v>627.71</v>
      </c>
      <c r="M10" s="118">
        <f t="shared" si="2"/>
        <v>934.67000000000007</v>
      </c>
      <c r="N10" s="118">
        <v>251.71</v>
      </c>
      <c r="O10" s="118">
        <v>682.96</v>
      </c>
      <c r="P10" s="133">
        <f t="shared" si="3"/>
        <v>935.26</v>
      </c>
      <c r="Q10" s="133">
        <v>287.31</v>
      </c>
      <c r="R10" s="133">
        <v>647.95000000000005</v>
      </c>
      <c r="S10" s="137">
        <f t="shared" si="4"/>
        <v>810.9</v>
      </c>
      <c r="T10" s="137">
        <v>281.39</v>
      </c>
      <c r="U10" s="137">
        <v>529.51</v>
      </c>
      <c r="V10" s="137">
        <f t="shared" si="5"/>
        <v>828.8</v>
      </c>
      <c r="W10" s="137">
        <v>293.55</v>
      </c>
      <c r="X10" s="137">
        <v>535.25</v>
      </c>
      <c r="Y10" s="137">
        <f t="shared" si="6"/>
        <v>799.68000000000006</v>
      </c>
      <c r="Z10" s="137">
        <v>282.95</v>
      </c>
      <c r="AA10" s="137">
        <v>516.73</v>
      </c>
      <c r="AB10" s="141">
        <f t="shared" si="7"/>
        <v>799.28</v>
      </c>
      <c r="AC10" s="141">
        <v>277.8</v>
      </c>
      <c r="AD10" s="141">
        <v>521.48</v>
      </c>
      <c r="AE10" s="142">
        <f t="shared" si="8"/>
        <v>13.321333333333333</v>
      </c>
    </row>
    <row r="11" spans="1:31" s="131" customFormat="1" ht="15">
      <c r="A11" s="133">
        <f t="shared" si="9"/>
        <v>5</v>
      </c>
      <c r="B11" s="134" t="s">
        <v>53</v>
      </c>
      <c r="C11" s="134" t="s">
        <v>19</v>
      </c>
      <c r="D11" s="140">
        <v>33</v>
      </c>
      <c r="E11" s="140"/>
      <c r="F11" s="103">
        <f>[1]МКД!$H$170</f>
        <v>60</v>
      </c>
      <c r="G11" s="133">
        <f t="shared" si="0"/>
        <v>949.5</v>
      </c>
      <c r="H11" s="133">
        <v>364.34</v>
      </c>
      <c r="I11" s="133">
        <v>585.16</v>
      </c>
      <c r="J11" s="133">
        <f t="shared" si="1"/>
        <v>930.25</v>
      </c>
      <c r="K11" s="133">
        <v>301.60000000000002</v>
      </c>
      <c r="L11" s="133">
        <v>628.65</v>
      </c>
      <c r="M11" s="118">
        <f t="shared" si="2"/>
        <v>832.45</v>
      </c>
      <c r="N11" s="118">
        <v>268.63</v>
      </c>
      <c r="O11" s="118">
        <v>563.82000000000005</v>
      </c>
      <c r="P11" s="133">
        <f t="shared" si="3"/>
        <v>893.22</v>
      </c>
      <c r="Q11" s="133">
        <v>315.58</v>
      </c>
      <c r="R11" s="133">
        <v>577.64</v>
      </c>
      <c r="S11" s="137">
        <f t="shared" si="4"/>
        <v>847.46</v>
      </c>
      <c r="T11" s="137">
        <v>374.3</v>
      </c>
      <c r="U11" s="137">
        <v>473.16</v>
      </c>
      <c r="V11" s="137">
        <f t="shared" si="5"/>
        <v>801.09</v>
      </c>
      <c r="W11" s="137">
        <v>368.29</v>
      </c>
      <c r="X11" s="137">
        <v>432.8</v>
      </c>
      <c r="Y11" s="137">
        <f t="shared" si="6"/>
        <v>779.72</v>
      </c>
      <c r="Z11" s="137">
        <v>346.83</v>
      </c>
      <c r="AA11" s="137">
        <v>432.89</v>
      </c>
      <c r="AB11" s="141">
        <f t="shared" si="7"/>
        <v>730.31999999999994</v>
      </c>
      <c r="AC11" s="141">
        <v>328.71</v>
      </c>
      <c r="AD11" s="141">
        <v>401.61</v>
      </c>
      <c r="AE11" s="142">
        <f t="shared" si="8"/>
        <v>12.171999999999999</v>
      </c>
    </row>
    <row r="12" spans="1:31" s="131" customFormat="1" ht="15">
      <c r="A12" s="133">
        <f t="shared" si="9"/>
        <v>6</v>
      </c>
      <c r="B12" s="134" t="s">
        <v>53</v>
      </c>
      <c r="C12" s="134" t="s">
        <v>56</v>
      </c>
      <c r="D12" s="140">
        <v>21</v>
      </c>
      <c r="E12" s="140">
        <v>3</v>
      </c>
      <c r="F12" s="103">
        <f>[1]МКД!$H$178</f>
        <v>34</v>
      </c>
      <c r="G12" s="133">
        <f t="shared" si="0"/>
        <v>315.51</v>
      </c>
      <c r="H12" s="133">
        <v>180.24</v>
      </c>
      <c r="I12" s="133">
        <v>135.27000000000001</v>
      </c>
      <c r="J12" s="133">
        <f t="shared" si="1"/>
        <v>357.90999999999997</v>
      </c>
      <c r="K12" s="133">
        <v>193.49</v>
      </c>
      <c r="L12" s="133">
        <v>164.42</v>
      </c>
      <c r="M12" s="118">
        <f t="shared" si="2"/>
        <v>436.77</v>
      </c>
      <c r="N12" s="118">
        <v>218.28</v>
      </c>
      <c r="O12" s="118">
        <v>218.49</v>
      </c>
      <c r="P12" s="133">
        <f t="shared" si="3"/>
        <v>484.29</v>
      </c>
      <c r="Q12" s="133">
        <v>265.8</v>
      </c>
      <c r="R12" s="133">
        <v>218.49</v>
      </c>
      <c r="S12" s="137">
        <f t="shared" si="4"/>
        <v>425.59000000000003</v>
      </c>
      <c r="T12" s="137">
        <v>297.36</v>
      </c>
      <c r="U12" s="137">
        <v>128.22999999999999</v>
      </c>
      <c r="V12" s="137">
        <f t="shared" si="5"/>
        <v>412.5</v>
      </c>
      <c r="W12" s="137">
        <v>292.51</v>
      </c>
      <c r="X12" s="137">
        <v>119.99</v>
      </c>
      <c r="Y12" s="137">
        <f t="shared" si="6"/>
        <v>417.46</v>
      </c>
      <c r="Z12" s="137">
        <v>303.02999999999997</v>
      </c>
      <c r="AA12" s="137">
        <v>114.43</v>
      </c>
      <c r="AB12" s="141">
        <f t="shared" si="7"/>
        <v>406.27</v>
      </c>
      <c r="AC12" s="141">
        <v>297.5</v>
      </c>
      <c r="AD12" s="141">
        <v>108.77</v>
      </c>
      <c r="AE12" s="142">
        <f t="shared" si="8"/>
        <v>11.949117647058824</v>
      </c>
    </row>
    <row r="13" spans="1:31" s="131" customFormat="1" ht="15">
      <c r="A13" s="133">
        <f t="shared" si="9"/>
        <v>7</v>
      </c>
      <c r="B13" s="134" t="s">
        <v>53</v>
      </c>
      <c r="C13" s="134" t="s">
        <v>55</v>
      </c>
      <c r="D13" s="140">
        <v>11</v>
      </c>
      <c r="E13" s="140"/>
      <c r="F13" s="103">
        <f>[1]МКД!$H$174</f>
        <v>48</v>
      </c>
      <c r="G13" s="133">
        <f t="shared" si="0"/>
        <v>682.68999999999994</v>
      </c>
      <c r="H13" s="133">
        <v>219.17</v>
      </c>
      <c r="I13" s="133">
        <v>463.52</v>
      </c>
      <c r="J13" s="133">
        <f t="shared" si="1"/>
        <v>735.67</v>
      </c>
      <c r="K13" s="133">
        <v>193.52</v>
      </c>
      <c r="L13" s="133">
        <v>542.15</v>
      </c>
      <c r="M13" s="118">
        <f t="shared" si="2"/>
        <v>752.29</v>
      </c>
      <c r="N13" s="118">
        <v>161.82</v>
      </c>
      <c r="O13" s="118">
        <v>590.47</v>
      </c>
      <c r="P13" s="133">
        <f t="shared" si="3"/>
        <v>761.80000000000007</v>
      </c>
      <c r="Q13" s="133">
        <v>184.33</v>
      </c>
      <c r="R13" s="133">
        <v>577.47</v>
      </c>
      <c r="S13" s="137">
        <f t="shared" si="4"/>
        <v>594.1</v>
      </c>
      <c r="T13" s="137">
        <v>176.78</v>
      </c>
      <c r="U13" s="137">
        <v>417.32</v>
      </c>
      <c r="V13" s="137">
        <f t="shared" si="5"/>
        <v>599.52</v>
      </c>
      <c r="W13" s="137">
        <v>205.78</v>
      </c>
      <c r="X13" s="137">
        <v>393.74</v>
      </c>
      <c r="Y13" s="137">
        <f t="shared" si="6"/>
        <v>593.38</v>
      </c>
      <c r="Z13" s="137">
        <v>216.41</v>
      </c>
      <c r="AA13" s="137">
        <v>376.97</v>
      </c>
      <c r="AB13" s="141">
        <f t="shared" si="7"/>
        <v>560.92000000000007</v>
      </c>
      <c r="AC13" s="141">
        <v>209.68</v>
      </c>
      <c r="AD13" s="141">
        <v>351.24</v>
      </c>
      <c r="AE13" s="142">
        <f t="shared" si="8"/>
        <v>11.685833333333335</v>
      </c>
    </row>
    <row r="14" spans="1:31" s="131" customFormat="1" ht="15">
      <c r="A14" s="133">
        <f t="shared" si="9"/>
        <v>8</v>
      </c>
      <c r="B14" s="134" t="s">
        <v>53</v>
      </c>
      <c r="C14" s="134" t="s">
        <v>56</v>
      </c>
      <c r="D14" s="140">
        <v>21</v>
      </c>
      <c r="E14" s="140">
        <v>1</v>
      </c>
      <c r="F14" s="103">
        <f>[1]МКД!$H$176</f>
        <v>35</v>
      </c>
      <c r="G14" s="133">
        <f t="shared" si="0"/>
        <v>489.38</v>
      </c>
      <c r="H14" s="133">
        <v>337.12</v>
      </c>
      <c r="I14" s="133">
        <v>152.26</v>
      </c>
      <c r="J14" s="133">
        <f t="shared" si="1"/>
        <v>401.14</v>
      </c>
      <c r="K14" s="133">
        <v>318.52999999999997</v>
      </c>
      <c r="L14" s="133">
        <v>82.61</v>
      </c>
      <c r="M14" s="118">
        <f t="shared" si="2"/>
        <v>645.65000000000009</v>
      </c>
      <c r="N14" s="118">
        <v>351.98</v>
      </c>
      <c r="O14" s="118">
        <v>293.67</v>
      </c>
      <c r="P14" s="133">
        <f t="shared" si="3"/>
        <v>712.26</v>
      </c>
      <c r="Q14" s="133">
        <v>418.59</v>
      </c>
      <c r="R14" s="133">
        <v>293.67</v>
      </c>
      <c r="S14" s="137">
        <f t="shared" si="4"/>
        <v>452.72999999999996</v>
      </c>
      <c r="T14" s="137">
        <v>407.52</v>
      </c>
      <c r="U14" s="137">
        <v>45.21</v>
      </c>
      <c r="V14" s="137">
        <f t="shared" si="5"/>
        <v>419.89000000000004</v>
      </c>
      <c r="W14" s="137">
        <v>394.97</v>
      </c>
      <c r="X14" s="137">
        <v>24.92</v>
      </c>
      <c r="Y14" s="137">
        <f t="shared" si="6"/>
        <v>417.54</v>
      </c>
      <c r="Z14" s="137">
        <v>399</v>
      </c>
      <c r="AA14" s="137">
        <v>18.54</v>
      </c>
      <c r="AB14" s="141">
        <f t="shared" si="7"/>
        <v>393.15</v>
      </c>
      <c r="AC14" s="141">
        <v>380.64</v>
      </c>
      <c r="AD14" s="141">
        <v>12.51</v>
      </c>
      <c r="AE14" s="142">
        <f t="shared" si="8"/>
        <v>11.232857142857142</v>
      </c>
    </row>
    <row r="15" spans="1:31" s="131" customFormat="1" ht="15">
      <c r="A15" s="133">
        <f t="shared" si="9"/>
        <v>9</v>
      </c>
      <c r="B15" s="134" t="s">
        <v>53</v>
      </c>
      <c r="C15" s="134" t="s">
        <v>19</v>
      </c>
      <c r="D15" s="140">
        <v>41</v>
      </c>
      <c r="E15" s="140" t="s">
        <v>20</v>
      </c>
      <c r="F15" s="103">
        <f>[1]МКД!$H$173</f>
        <v>46</v>
      </c>
      <c r="G15" s="133">
        <f t="shared" si="0"/>
        <v>762.08</v>
      </c>
      <c r="H15" s="133">
        <v>312.22000000000003</v>
      </c>
      <c r="I15" s="133">
        <v>449.86</v>
      </c>
      <c r="J15" s="133">
        <f t="shared" si="1"/>
        <v>729.3</v>
      </c>
      <c r="K15" s="133">
        <v>286.92</v>
      </c>
      <c r="L15" s="133">
        <v>442.38</v>
      </c>
      <c r="M15" s="118">
        <f t="shared" si="2"/>
        <v>870.19</v>
      </c>
      <c r="N15" s="118">
        <v>297.70999999999998</v>
      </c>
      <c r="O15" s="118">
        <v>572.48</v>
      </c>
      <c r="P15" s="133">
        <f t="shared" si="3"/>
        <v>634.22</v>
      </c>
      <c r="Q15" s="133">
        <v>311.62</v>
      </c>
      <c r="R15" s="133">
        <v>322.60000000000002</v>
      </c>
      <c r="S15" s="137">
        <f t="shared" si="4"/>
        <v>515.03</v>
      </c>
      <c r="T15" s="137">
        <v>286.19</v>
      </c>
      <c r="U15" s="137">
        <v>228.84</v>
      </c>
      <c r="V15" s="137">
        <f t="shared" si="5"/>
        <v>497.87</v>
      </c>
      <c r="W15" s="137">
        <v>302.07</v>
      </c>
      <c r="X15" s="137">
        <v>195.8</v>
      </c>
      <c r="Y15" s="137">
        <f t="shared" si="6"/>
        <v>462.71999999999997</v>
      </c>
      <c r="Z15" s="137">
        <v>284.27999999999997</v>
      </c>
      <c r="AA15" s="137">
        <v>178.44</v>
      </c>
      <c r="AB15" s="141">
        <f t="shared" si="7"/>
        <v>473.49</v>
      </c>
      <c r="AC15" s="141">
        <v>277.95</v>
      </c>
      <c r="AD15" s="141">
        <v>195.54</v>
      </c>
      <c r="AE15" s="142">
        <f t="shared" si="8"/>
        <v>10.293260869565218</v>
      </c>
    </row>
    <row r="16" spans="1:31" s="131" customFormat="1" ht="15">
      <c r="A16" s="133">
        <f t="shared" si="9"/>
        <v>10</v>
      </c>
      <c r="B16" s="134" t="s">
        <v>53</v>
      </c>
      <c r="C16" s="134" t="s">
        <v>19</v>
      </c>
      <c r="D16" s="140">
        <v>5</v>
      </c>
      <c r="E16" s="134"/>
      <c r="F16" s="103">
        <f>[1]МКД!$H$167</f>
        <v>58</v>
      </c>
      <c r="G16" s="133">
        <f t="shared" si="0"/>
        <v>514.66999999999996</v>
      </c>
      <c r="H16" s="133">
        <v>204.41</v>
      </c>
      <c r="I16" s="133">
        <v>310.26</v>
      </c>
      <c r="J16" s="133">
        <f t="shared" si="1"/>
        <v>548.53</v>
      </c>
      <c r="K16" s="133">
        <v>236.94</v>
      </c>
      <c r="L16" s="133">
        <v>311.58999999999997</v>
      </c>
      <c r="M16" s="118">
        <f t="shared" si="2"/>
        <v>474.08</v>
      </c>
      <c r="N16" s="118">
        <v>196.5</v>
      </c>
      <c r="O16" s="118">
        <v>277.58</v>
      </c>
      <c r="P16" s="133">
        <f t="shared" si="3"/>
        <v>473.17</v>
      </c>
      <c r="Q16" s="133">
        <v>259.11</v>
      </c>
      <c r="R16" s="133">
        <v>214.06</v>
      </c>
      <c r="S16" s="137">
        <f t="shared" si="4"/>
        <v>334.19</v>
      </c>
      <c r="T16" s="137">
        <v>236.45</v>
      </c>
      <c r="U16" s="137">
        <v>97.74</v>
      </c>
      <c r="V16" s="137">
        <f t="shared" si="5"/>
        <v>313.7</v>
      </c>
      <c r="W16" s="137">
        <v>222.26</v>
      </c>
      <c r="X16" s="137">
        <v>91.44</v>
      </c>
      <c r="Y16" s="137">
        <f t="shared" si="6"/>
        <v>308.54999999999995</v>
      </c>
      <c r="Z16" s="137">
        <v>223.92</v>
      </c>
      <c r="AA16" s="137">
        <v>84.63</v>
      </c>
      <c r="AB16" s="141">
        <f t="shared" si="7"/>
        <v>296.71000000000004</v>
      </c>
      <c r="AC16" s="141">
        <v>219.27</v>
      </c>
      <c r="AD16" s="141">
        <v>77.44</v>
      </c>
      <c r="AE16" s="142">
        <f t="shared" si="8"/>
        <v>5.1156896551724147</v>
      </c>
    </row>
    <row r="17" spans="1:31" s="131" customFormat="1" ht="15">
      <c r="A17" s="133">
        <f t="shared" si="9"/>
        <v>11</v>
      </c>
      <c r="B17" s="134" t="s">
        <v>53</v>
      </c>
      <c r="C17" s="134" t="s">
        <v>19</v>
      </c>
      <c r="D17" s="140">
        <v>41</v>
      </c>
      <c r="E17" s="140"/>
      <c r="F17" s="103">
        <f>[1]МКД!$H$279</f>
        <v>48</v>
      </c>
      <c r="G17" s="133"/>
      <c r="H17" s="133"/>
      <c r="I17" s="133"/>
      <c r="J17" s="133">
        <f t="shared" si="1"/>
        <v>310.85000000000002</v>
      </c>
      <c r="K17" s="133">
        <v>116.81</v>
      </c>
      <c r="L17" s="133">
        <v>194.04</v>
      </c>
      <c r="M17" s="118">
        <f t="shared" si="2"/>
        <v>343.86</v>
      </c>
      <c r="N17" s="118">
        <v>153.08000000000001</v>
      </c>
      <c r="O17" s="118">
        <v>190.78</v>
      </c>
      <c r="P17" s="133">
        <f t="shared" si="3"/>
        <v>340.28999999999996</v>
      </c>
      <c r="Q17" s="133">
        <v>175.15</v>
      </c>
      <c r="R17" s="133">
        <v>165.14</v>
      </c>
      <c r="S17" s="137">
        <f t="shared" si="4"/>
        <v>158.93</v>
      </c>
      <c r="T17" s="137">
        <v>127.94</v>
      </c>
      <c r="U17" s="137">
        <v>30.99</v>
      </c>
      <c r="V17" s="137">
        <f t="shared" si="5"/>
        <v>167.09</v>
      </c>
      <c r="W17" s="137">
        <v>132.31</v>
      </c>
      <c r="X17" s="137">
        <v>34.78</v>
      </c>
      <c r="Y17" s="137">
        <f t="shared" si="6"/>
        <v>160.34</v>
      </c>
      <c r="Z17" s="137">
        <v>136.04</v>
      </c>
      <c r="AA17" s="137">
        <v>24.3</v>
      </c>
      <c r="AB17" s="141">
        <f t="shared" si="7"/>
        <v>133.51</v>
      </c>
      <c r="AC17" s="141">
        <v>118.25</v>
      </c>
      <c r="AD17" s="141">
        <v>15.26</v>
      </c>
      <c r="AE17" s="142">
        <f t="shared" si="8"/>
        <v>2.7814583333333331</v>
      </c>
    </row>
    <row r="18" spans="1:31" s="146" customFormat="1" ht="15">
      <c r="A18" s="143"/>
      <c r="B18" s="144" t="s">
        <v>60</v>
      </c>
      <c r="C18" s="144"/>
      <c r="D18" s="145"/>
      <c r="E18" s="145"/>
      <c r="F18" s="145">
        <f>SUM(F7:F17)</f>
        <v>513</v>
      </c>
      <c r="G18" s="143">
        <f t="shared" ref="G18:AD18" si="10">SUM(G7:G17)</f>
        <v>8060.4699999999993</v>
      </c>
      <c r="H18" s="143">
        <f t="shared" si="10"/>
        <v>3511.05</v>
      </c>
      <c r="I18" s="143">
        <f t="shared" si="10"/>
        <v>4549.42</v>
      </c>
      <c r="J18" s="143">
        <f t="shared" si="10"/>
        <v>8198.42</v>
      </c>
      <c r="K18" s="143">
        <f t="shared" si="10"/>
        <v>3512.05</v>
      </c>
      <c r="L18" s="143">
        <f t="shared" si="10"/>
        <v>4686.37</v>
      </c>
      <c r="M18" s="143">
        <f t="shared" si="10"/>
        <v>7742.03</v>
      </c>
      <c r="N18" s="143">
        <f t="shared" si="10"/>
        <v>3445.7300000000005</v>
      </c>
      <c r="O18" s="143">
        <f t="shared" si="10"/>
        <v>4296.3</v>
      </c>
      <c r="P18" s="143">
        <f t="shared" si="10"/>
        <v>7770.3600000000015</v>
      </c>
      <c r="Q18" s="143">
        <f t="shared" si="10"/>
        <v>3887.05</v>
      </c>
      <c r="R18" s="143">
        <f t="shared" si="10"/>
        <v>3883.31</v>
      </c>
      <c r="S18" s="143">
        <f t="shared" si="10"/>
        <v>6944.5599999999995</v>
      </c>
      <c r="T18" s="143">
        <f t="shared" si="10"/>
        <v>3833.6600000000003</v>
      </c>
      <c r="U18" s="143">
        <f>SUM(U7:U17)</f>
        <v>3110.9</v>
      </c>
      <c r="V18" s="143">
        <f t="shared" si="10"/>
        <v>6888.4900000000007</v>
      </c>
      <c r="W18" s="143">
        <f t="shared" si="10"/>
        <v>3919.7999999999997</v>
      </c>
      <c r="X18" s="143">
        <f t="shared" si="10"/>
        <v>2968.6900000000005</v>
      </c>
      <c r="Y18" s="143">
        <f t="shared" si="10"/>
        <v>6667.4800000000014</v>
      </c>
      <c r="Z18" s="143">
        <f t="shared" si="10"/>
        <v>3859.0299999999997</v>
      </c>
      <c r="AA18" s="143">
        <f t="shared" si="10"/>
        <v>2808.4500000000003</v>
      </c>
      <c r="AB18" s="143">
        <f>SUM(AB7:AB17)</f>
        <v>6480.329999999999</v>
      </c>
      <c r="AC18" s="143">
        <f t="shared" si="10"/>
        <v>3774.1699999999996</v>
      </c>
      <c r="AD18" s="143">
        <f t="shared" si="10"/>
        <v>2706.1600000000003</v>
      </c>
      <c r="AE18" s="143"/>
    </row>
    <row r="19" spans="1:31" s="147" customFormat="1" ht="15" customHeight="1">
      <c r="A19" s="256" t="s">
        <v>122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</row>
    <row r="20" spans="1:31" s="131" customFormat="1" ht="15" customHeight="1">
      <c r="A20" s="133">
        <v>1</v>
      </c>
      <c r="B20" s="134" t="s">
        <v>53</v>
      </c>
      <c r="C20" s="134" t="s">
        <v>57</v>
      </c>
      <c r="D20" s="140">
        <v>10</v>
      </c>
      <c r="E20" s="140"/>
      <c r="F20" s="103">
        <f>[1]МКД!$H$175</f>
        <v>149</v>
      </c>
      <c r="G20" s="133">
        <f t="shared" ref="G20:G24" si="11">I20+H20</f>
        <v>717.44</v>
      </c>
      <c r="H20" s="133">
        <v>399.41</v>
      </c>
      <c r="I20" s="133">
        <v>318.02999999999997</v>
      </c>
      <c r="J20" s="133">
        <f t="shared" ref="J20:J24" si="12">L20+K20</f>
        <v>417.11</v>
      </c>
      <c r="K20" s="133">
        <v>181.23</v>
      </c>
      <c r="L20" s="133">
        <v>235.88</v>
      </c>
      <c r="M20" s="118">
        <f t="shared" ref="M20:M24" si="13">O20+N20</f>
        <v>471.85</v>
      </c>
      <c r="N20" s="118">
        <v>192.17</v>
      </c>
      <c r="O20" s="118">
        <v>279.68</v>
      </c>
      <c r="P20" s="133">
        <f t="shared" ref="P20:P24" si="14">R20+Q20</f>
        <v>471.85</v>
      </c>
      <c r="Q20" s="133">
        <v>192.17</v>
      </c>
      <c r="R20" s="133">
        <v>279.68</v>
      </c>
      <c r="S20" s="137">
        <f t="shared" ref="S20:S24" si="15">U20+T20</f>
        <v>471.85</v>
      </c>
      <c r="T20" s="137">
        <v>192.17</v>
      </c>
      <c r="U20" s="137">
        <v>279.68</v>
      </c>
      <c r="V20" s="103">
        <f t="shared" ref="V20:V24" si="16">X20+W20</f>
        <v>375.72</v>
      </c>
      <c r="W20" s="103">
        <v>152.03</v>
      </c>
      <c r="X20" s="103">
        <v>223.69</v>
      </c>
      <c r="Y20" s="103">
        <f t="shared" ref="Y20:Y24" si="17">AA20+Z20</f>
        <v>375.66999999999996</v>
      </c>
      <c r="Z20" s="103">
        <v>151.97999999999999</v>
      </c>
      <c r="AA20" s="103">
        <v>223.69</v>
      </c>
      <c r="AB20" s="103">
        <f t="shared" ref="AB20:AB24" si="18">AD20+AC20</f>
        <v>375.65</v>
      </c>
      <c r="AC20" s="103">
        <v>151.96</v>
      </c>
      <c r="AD20" s="103">
        <v>223.69</v>
      </c>
      <c r="AE20" s="142">
        <f>AB20/F20</f>
        <v>2.5211409395973154</v>
      </c>
    </row>
    <row r="21" spans="1:31" s="131" customFormat="1" ht="15">
      <c r="A21" s="133">
        <f t="shared" si="9"/>
        <v>2</v>
      </c>
      <c r="B21" s="134" t="s">
        <v>53</v>
      </c>
      <c r="C21" s="134" t="s">
        <v>58</v>
      </c>
      <c r="D21" s="140">
        <v>7</v>
      </c>
      <c r="E21" s="140"/>
      <c r="F21" s="103">
        <f>[1]МКД!$H$180</f>
        <v>70</v>
      </c>
      <c r="G21" s="133">
        <f t="shared" si="11"/>
        <v>795.05000000000007</v>
      </c>
      <c r="H21" s="133">
        <v>563.33000000000004</v>
      </c>
      <c r="I21" s="133">
        <v>231.72</v>
      </c>
      <c r="J21" s="133">
        <f t="shared" si="12"/>
        <v>795.05000000000007</v>
      </c>
      <c r="K21" s="133">
        <v>563.33000000000004</v>
      </c>
      <c r="L21" s="133">
        <v>231.72</v>
      </c>
      <c r="M21" s="118">
        <f t="shared" si="13"/>
        <v>795.05000000000007</v>
      </c>
      <c r="N21" s="118">
        <v>563.33000000000004</v>
      </c>
      <c r="O21" s="118">
        <v>231.72</v>
      </c>
      <c r="P21" s="133">
        <f t="shared" si="14"/>
        <v>795.05000000000007</v>
      </c>
      <c r="Q21" s="133">
        <v>563.33000000000004</v>
      </c>
      <c r="R21" s="133">
        <v>231.72</v>
      </c>
      <c r="S21" s="137">
        <f t="shared" si="15"/>
        <v>795.05000000000007</v>
      </c>
      <c r="T21" s="137">
        <v>563.33000000000004</v>
      </c>
      <c r="U21" s="137">
        <v>231.72</v>
      </c>
      <c r="V21" s="103">
        <f t="shared" si="16"/>
        <v>795.05000000000007</v>
      </c>
      <c r="W21" s="103">
        <v>563.33000000000004</v>
      </c>
      <c r="X21" s="103">
        <v>231.72</v>
      </c>
      <c r="Y21" s="103">
        <f t="shared" si="17"/>
        <v>795.05000000000007</v>
      </c>
      <c r="Z21" s="103">
        <v>563.33000000000004</v>
      </c>
      <c r="AA21" s="103">
        <v>231.72</v>
      </c>
      <c r="AB21" s="103">
        <f t="shared" si="18"/>
        <v>795.05000000000007</v>
      </c>
      <c r="AC21" s="103">
        <v>563.33000000000004</v>
      </c>
      <c r="AD21" s="103">
        <v>231.72</v>
      </c>
      <c r="AE21" s="142">
        <f t="shared" ref="AE21:AE23" si="19">AB21/F21</f>
        <v>11.357857142857144</v>
      </c>
    </row>
    <row r="22" spans="1:31" s="131" customFormat="1" ht="15" customHeight="1">
      <c r="A22" s="133">
        <f t="shared" si="9"/>
        <v>3</v>
      </c>
      <c r="B22" s="134" t="s">
        <v>53</v>
      </c>
      <c r="C22" s="134" t="s">
        <v>19</v>
      </c>
      <c r="D22" s="140">
        <v>33</v>
      </c>
      <c r="E22" s="140" t="s">
        <v>21</v>
      </c>
      <c r="F22" s="103">
        <f>[1]МКД!$H$171</f>
        <v>79</v>
      </c>
      <c r="G22" s="133">
        <f t="shared" si="11"/>
        <v>60.11</v>
      </c>
      <c r="H22" s="133">
        <v>25.05</v>
      </c>
      <c r="I22" s="133">
        <v>35.06</v>
      </c>
      <c r="J22" s="133">
        <f t="shared" si="12"/>
        <v>60.11</v>
      </c>
      <c r="K22" s="133">
        <v>25.05</v>
      </c>
      <c r="L22" s="133">
        <v>35.06</v>
      </c>
      <c r="M22" s="118">
        <f t="shared" si="13"/>
        <v>59.83</v>
      </c>
      <c r="N22" s="118">
        <v>24.77</v>
      </c>
      <c r="O22" s="118">
        <v>35.06</v>
      </c>
      <c r="P22" s="133">
        <f t="shared" si="14"/>
        <v>59.83</v>
      </c>
      <c r="Q22" s="133">
        <v>24.77</v>
      </c>
      <c r="R22" s="133">
        <v>35.06</v>
      </c>
      <c r="S22" s="137">
        <f t="shared" si="15"/>
        <v>59.83</v>
      </c>
      <c r="T22" s="137">
        <v>24.77</v>
      </c>
      <c r="U22" s="137">
        <v>35.06</v>
      </c>
      <c r="V22" s="103">
        <f t="shared" si="16"/>
        <v>59.83</v>
      </c>
      <c r="W22" s="103">
        <v>24.77</v>
      </c>
      <c r="X22" s="103">
        <v>35.06</v>
      </c>
      <c r="Y22" s="103">
        <f t="shared" si="17"/>
        <v>59.83</v>
      </c>
      <c r="Z22" s="103">
        <v>24.77</v>
      </c>
      <c r="AA22" s="103">
        <v>35.06</v>
      </c>
      <c r="AB22" s="103">
        <f t="shared" si="18"/>
        <v>59.83</v>
      </c>
      <c r="AC22" s="103">
        <v>24.77</v>
      </c>
      <c r="AD22" s="103">
        <v>35.06</v>
      </c>
      <c r="AE22" s="142">
        <f t="shared" si="19"/>
        <v>0.75734177215189868</v>
      </c>
    </row>
    <row r="23" spans="1:31" s="131" customFormat="1" ht="15">
      <c r="A23" s="133">
        <f t="shared" si="9"/>
        <v>4</v>
      </c>
      <c r="B23" s="134" t="s">
        <v>53</v>
      </c>
      <c r="C23" s="134" t="s">
        <v>19</v>
      </c>
      <c r="D23" s="140">
        <v>35</v>
      </c>
      <c r="E23" s="140" t="s">
        <v>21</v>
      </c>
      <c r="F23" s="103">
        <f>[1]МКД!$H$172</f>
        <v>99</v>
      </c>
      <c r="G23" s="133">
        <f t="shared" si="11"/>
        <v>132.69999999999999</v>
      </c>
      <c r="H23" s="133">
        <v>88.17</v>
      </c>
      <c r="I23" s="133">
        <v>44.53</v>
      </c>
      <c r="J23" s="133">
        <f t="shared" si="12"/>
        <v>113.91</v>
      </c>
      <c r="K23" s="133">
        <v>69.38</v>
      </c>
      <c r="L23" s="133">
        <v>44.53</v>
      </c>
      <c r="M23" s="118">
        <f t="shared" si="13"/>
        <v>112.33</v>
      </c>
      <c r="N23" s="118">
        <v>67.8</v>
      </c>
      <c r="O23" s="118">
        <v>44.53</v>
      </c>
      <c r="P23" s="133">
        <f t="shared" si="14"/>
        <v>112.33</v>
      </c>
      <c r="Q23" s="133">
        <v>67.8</v>
      </c>
      <c r="R23" s="133">
        <v>44.53</v>
      </c>
      <c r="S23" s="137">
        <f t="shared" si="15"/>
        <v>112.33</v>
      </c>
      <c r="T23" s="137">
        <v>67.8</v>
      </c>
      <c r="U23" s="137">
        <v>44.53</v>
      </c>
      <c r="V23" s="103">
        <f t="shared" si="16"/>
        <v>112.33</v>
      </c>
      <c r="W23" s="103">
        <v>67.8</v>
      </c>
      <c r="X23" s="103">
        <v>44.53</v>
      </c>
      <c r="Y23" s="103">
        <f t="shared" si="17"/>
        <v>112.33</v>
      </c>
      <c r="Z23" s="103">
        <v>67.8</v>
      </c>
      <c r="AA23" s="103">
        <v>44.53</v>
      </c>
      <c r="AB23" s="103">
        <f t="shared" si="18"/>
        <v>112.33</v>
      </c>
      <c r="AC23" s="103">
        <v>67.8</v>
      </c>
      <c r="AD23" s="103">
        <v>44.53</v>
      </c>
      <c r="AE23" s="142">
        <f t="shared" si="19"/>
        <v>1.1346464646464647</v>
      </c>
    </row>
    <row r="24" spans="1:31" s="149" customFormat="1" ht="15">
      <c r="A24" s="133">
        <f t="shared" si="9"/>
        <v>5</v>
      </c>
      <c r="B24" s="148" t="s">
        <v>53</v>
      </c>
      <c r="C24" s="148" t="s">
        <v>59</v>
      </c>
      <c r="D24" s="133">
        <v>1</v>
      </c>
      <c r="E24" s="133"/>
      <c r="F24" s="103">
        <f>[1]МКД!$H$181</f>
        <v>24</v>
      </c>
      <c r="G24" s="142">
        <f t="shared" si="11"/>
        <v>2.72</v>
      </c>
      <c r="H24" s="142">
        <v>0</v>
      </c>
      <c r="I24" s="142">
        <v>2.72</v>
      </c>
      <c r="J24" s="142">
        <f t="shared" si="12"/>
        <v>0</v>
      </c>
      <c r="K24" s="142">
        <v>0</v>
      </c>
      <c r="L24" s="142">
        <v>0</v>
      </c>
      <c r="M24" s="118">
        <f t="shared" si="13"/>
        <v>0</v>
      </c>
      <c r="N24" s="118">
        <v>0</v>
      </c>
      <c r="O24" s="118">
        <v>0</v>
      </c>
      <c r="P24" s="142">
        <f t="shared" si="14"/>
        <v>0</v>
      </c>
      <c r="Q24" s="142">
        <v>0</v>
      </c>
      <c r="R24" s="142">
        <v>0</v>
      </c>
      <c r="S24" s="118">
        <f t="shared" si="15"/>
        <v>0</v>
      </c>
      <c r="T24" s="118">
        <v>0</v>
      </c>
      <c r="U24" s="118">
        <v>0</v>
      </c>
      <c r="V24" s="101">
        <f t="shared" si="16"/>
        <v>0</v>
      </c>
      <c r="W24" s="101">
        <v>0</v>
      </c>
      <c r="X24" s="101">
        <v>0</v>
      </c>
      <c r="Y24" s="101">
        <f t="shared" si="17"/>
        <v>0</v>
      </c>
      <c r="Z24" s="101">
        <v>0</v>
      </c>
      <c r="AA24" s="101">
        <v>0</v>
      </c>
      <c r="AB24" s="101">
        <f t="shared" si="18"/>
        <v>0</v>
      </c>
      <c r="AC24" s="101">
        <v>0</v>
      </c>
      <c r="AD24" s="101">
        <v>0</v>
      </c>
      <c r="AE24" s="142">
        <f>AB24/F24</f>
        <v>0</v>
      </c>
    </row>
    <row r="25" spans="1:31" s="146" customFormat="1" ht="15">
      <c r="A25" s="143"/>
      <c r="B25" s="144" t="s">
        <v>60</v>
      </c>
      <c r="C25" s="144"/>
      <c r="D25" s="145"/>
      <c r="E25" s="145"/>
      <c r="F25" s="145">
        <f>SUM(F20:F24)</f>
        <v>421</v>
      </c>
      <c r="G25" s="143">
        <f t="shared" ref="G25:Z25" si="20">SUM(G20:G24)</f>
        <v>1708.0200000000002</v>
      </c>
      <c r="H25" s="143">
        <f t="shared" si="20"/>
        <v>1075.96</v>
      </c>
      <c r="I25" s="143">
        <f t="shared" si="20"/>
        <v>632.05999999999995</v>
      </c>
      <c r="J25" s="143">
        <f t="shared" si="20"/>
        <v>1386.18</v>
      </c>
      <c r="K25" s="143">
        <f t="shared" si="20"/>
        <v>838.99</v>
      </c>
      <c r="L25" s="143">
        <f t="shared" si="20"/>
        <v>547.19000000000005</v>
      </c>
      <c r="M25" s="143">
        <f t="shared" si="20"/>
        <v>1439.06</v>
      </c>
      <c r="N25" s="143">
        <f t="shared" si="20"/>
        <v>848.06999999999994</v>
      </c>
      <c r="O25" s="143">
        <f t="shared" si="20"/>
        <v>590.99</v>
      </c>
      <c r="P25" s="143">
        <f t="shared" si="20"/>
        <v>1439.06</v>
      </c>
      <c r="Q25" s="143">
        <f t="shared" si="20"/>
        <v>848.06999999999994</v>
      </c>
      <c r="R25" s="143">
        <f t="shared" si="20"/>
        <v>590.99</v>
      </c>
      <c r="S25" s="143">
        <f>SUM(S20:S24)</f>
        <v>1439.06</v>
      </c>
      <c r="T25" s="143">
        <f t="shared" si="20"/>
        <v>848.06999999999994</v>
      </c>
      <c r="U25" s="143">
        <f>SUM(U20:U24)</f>
        <v>590.99</v>
      </c>
      <c r="V25" s="143">
        <f t="shared" si="20"/>
        <v>1342.9299999999998</v>
      </c>
      <c r="W25" s="143">
        <f t="shared" si="20"/>
        <v>807.93</v>
      </c>
      <c r="X25" s="143">
        <f t="shared" si="20"/>
        <v>535</v>
      </c>
      <c r="Y25" s="143">
        <f t="shared" si="20"/>
        <v>1342.8799999999999</v>
      </c>
      <c r="Z25" s="143">
        <f t="shared" si="20"/>
        <v>807.88</v>
      </c>
      <c r="AA25" s="143">
        <f>SUM(AA20:AA24)</f>
        <v>535</v>
      </c>
      <c r="AB25" s="143">
        <f t="shared" ref="AB25:AD25" si="21">SUM(AB20:AB24)</f>
        <v>1342.86</v>
      </c>
      <c r="AC25" s="143">
        <f t="shared" si="21"/>
        <v>807.86</v>
      </c>
      <c r="AD25" s="143">
        <f t="shared" si="21"/>
        <v>535</v>
      </c>
      <c r="AE25" s="143"/>
    </row>
    <row r="27" spans="1:31" s="87" customFormat="1">
      <c r="B27" s="88" t="s">
        <v>144</v>
      </c>
    </row>
    <row r="28" spans="1:31" s="87" customFormat="1" ht="33" customHeight="1">
      <c r="B28" s="249" t="s">
        <v>147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</row>
  </sheetData>
  <sortState ref="C7:AE17">
    <sortCondition descending="1" ref="AE7:AE17"/>
  </sortState>
  <mergeCells count="36">
    <mergeCell ref="B1:AE1"/>
    <mergeCell ref="B2:AE2"/>
    <mergeCell ref="A4:A6"/>
    <mergeCell ref="B4:B6"/>
    <mergeCell ref="C4:E4"/>
    <mergeCell ref="G4:I4"/>
    <mergeCell ref="J4:L4"/>
    <mergeCell ref="C5:C6"/>
    <mergeCell ref="D5:D6"/>
    <mergeCell ref="E5:E6"/>
    <mergeCell ref="G5:G6"/>
    <mergeCell ref="H5:I5"/>
    <mergeCell ref="J5:J6"/>
    <mergeCell ref="K5:L5"/>
    <mergeCell ref="F4:F6"/>
    <mergeCell ref="T5:U5"/>
    <mergeCell ref="V4:X4"/>
    <mergeCell ref="V5:V6"/>
    <mergeCell ref="W5:X5"/>
    <mergeCell ref="B28:V28"/>
    <mergeCell ref="A19:AE19"/>
    <mergeCell ref="Y4:AA4"/>
    <mergeCell ref="Y5:Y6"/>
    <mergeCell ref="Z5:AA5"/>
    <mergeCell ref="AB4:AD4"/>
    <mergeCell ref="AB5:AB6"/>
    <mergeCell ref="AC5:AD5"/>
    <mergeCell ref="M4:O4"/>
    <mergeCell ref="M5:M6"/>
    <mergeCell ref="N5:O5"/>
    <mergeCell ref="Q5:R5"/>
    <mergeCell ref="AE4:AE6"/>
    <mergeCell ref="P4:R4"/>
    <mergeCell ref="P5:P6"/>
    <mergeCell ref="S4:U4"/>
    <mergeCell ref="S5:S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4"/>
  <sheetViews>
    <sheetView zoomScaleNormal="100" workbookViewId="0">
      <selection activeCell="AD32" sqref="AD32"/>
    </sheetView>
  </sheetViews>
  <sheetFormatPr defaultRowHeight="12.75" outlineLevelCol="1"/>
  <cols>
    <col min="1" max="1" width="5.28515625" style="13" customWidth="1"/>
    <col min="2" max="2" width="16.140625" style="13" customWidth="1"/>
    <col min="3" max="3" width="13.85546875" style="13" customWidth="1"/>
    <col min="4" max="4" width="8" style="13" customWidth="1"/>
    <col min="5" max="5" width="7.85546875" style="13" customWidth="1"/>
    <col min="6" max="6" width="10.7109375" style="13" customWidth="1"/>
    <col min="7" max="7" width="9.140625" style="13"/>
    <col min="8" max="8" width="10" style="13" customWidth="1"/>
    <col min="9" max="9" width="10.140625" style="13" customWidth="1"/>
    <col min="10" max="10" width="0" style="13" hidden="1" customWidth="1" outlineLevel="1"/>
    <col min="11" max="11" width="9.85546875" style="13" hidden="1" customWidth="1" outlineLevel="1"/>
    <col min="12" max="15" width="10.140625" style="13" hidden="1" customWidth="1" outlineLevel="1"/>
    <col min="16" max="16" width="0" style="13" hidden="1" customWidth="1" outlineLevel="1"/>
    <col min="17" max="17" width="9.85546875" style="13" hidden="1" customWidth="1" outlineLevel="1"/>
    <col min="18" max="27" width="10.28515625" style="13" hidden="1" customWidth="1" outlineLevel="1"/>
    <col min="28" max="28" width="10.28515625" style="13" customWidth="1" collapsed="1"/>
    <col min="29" max="30" width="10.28515625" style="13" customWidth="1"/>
    <col min="31" max="273" width="9.140625" style="13"/>
    <col min="274" max="274" width="16.140625" style="13" customWidth="1"/>
    <col min="275" max="275" width="13.85546875" style="13" customWidth="1"/>
    <col min="276" max="276" width="8" style="13" customWidth="1"/>
    <col min="277" max="277" width="7.85546875" style="13" customWidth="1"/>
    <col min="278" max="278" width="9.140625" style="13"/>
    <col min="279" max="279" width="10" style="13" customWidth="1"/>
    <col min="280" max="280" width="10.140625" style="13" customWidth="1"/>
    <col min="281" max="281" width="9.140625" style="13"/>
    <col min="282" max="282" width="9.85546875" style="13" customWidth="1"/>
    <col min="283" max="283" width="10.140625" style="13" customWidth="1"/>
    <col min="284" max="284" width="9.140625" style="13"/>
    <col min="285" max="285" width="9.85546875" style="13" customWidth="1"/>
    <col min="286" max="286" width="10.28515625" style="13" customWidth="1"/>
    <col min="287" max="529" width="9.140625" style="13"/>
    <col min="530" max="530" width="16.140625" style="13" customWidth="1"/>
    <col min="531" max="531" width="13.85546875" style="13" customWidth="1"/>
    <col min="532" max="532" width="8" style="13" customWidth="1"/>
    <col min="533" max="533" width="7.85546875" style="13" customWidth="1"/>
    <col min="534" max="534" width="9.140625" style="13"/>
    <col min="535" max="535" width="10" style="13" customWidth="1"/>
    <col min="536" max="536" width="10.140625" style="13" customWidth="1"/>
    <col min="537" max="537" width="9.140625" style="13"/>
    <col min="538" max="538" width="9.85546875" style="13" customWidth="1"/>
    <col min="539" max="539" width="10.140625" style="13" customWidth="1"/>
    <col min="540" max="540" width="9.140625" style="13"/>
    <col min="541" max="541" width="9.85546875" style="13" customWidth="1"/>
    <col min="542" max="542" width="10.28515625" style="13" customWidth="1"/>
    <col min="543" max="785" width="9.140625" style="13"/>
    <col min="786" max="786" width="16.140625" style="13" customWidth="1"/>
    <col min="787" max="787" width="13.85546875" style="13" customWidth="1"/>
    <col min="788" max="788" width="8" style="13" customWidth="1"/>
    <col min="789" max="789" width="7.85546875" style="13" customWidth="1"/>
    <col min="790" max="790" width="9.140625" style="13"/>
    <col min="791" max="791" width="10" style="13" customWidth="1"/>
    <col min="792" max="792" width="10.140625" style="13" customWidth="1"/>
    <col min="793" max="793" width="9.140625" style="13"/>
    <col min="794" max="794" width="9.85546875" style="13" customWidth="1"/>
    <col min="795" max="795" width="10.140625" style="13" customWidth="1"/>
    <col min="796" max="796" width="9.140625" style="13"/>
    <col min="797" max="797" width="9.85546875" style="13" customWidth="1"/>
    <col min="798" max="798" width="10.28515625" style="13" customWidth="1"/>
    <col min="799" max="1041" width="9.140625" style="13"/>
    <col min="1042" max="1042" width="16.140625" style="13" customWidth="1"/>
    <col min="1043" max="1043" width="13.85546875" style="13" customWidth="1"/>
    <col min="1044" max="1044" width="8" style="13" customWidth="1"/>
    <col min="1045" max="1045" width="7.85546875" style="13" customWidth="1"/>
    <col min="1046" max="1046" width="9.140625" style="13"/>
    <col min="1047" max="1047" width="10" style="13" customWidth="1"/>
    <col min="1048" max="1048" width="10.140625" style="13" customWidth="1"/>
    <col min="1049" max="1049" width="9.140625" style="13"/>
    <col min="1050" max="1050" width="9.85546875" style="13" customWidth="1"/>
    <col min="1051" max="1051" width="10.140625" style="13" customWidth="1"/>
    <col min="1052" max="1052" width="9.140625" style="13"/>
    <col min="1053" max="1053" width="9.85546875" style="13" customWidth="1"/>
    <col min="1054" max="1054" width="10.28515625" style="13" customWidth="1"/>
    <col min="1055" max="1297" width="9.140625" style="13"/>
    <col min="1298" max="1298" width="16.140625" style="13" customWidth="1"/>
    <col min="1299" max="1299" width="13.85546875" style="13" customWidth="1"/>
    <col min="1300" max="1300" width="8" style="13" customWidth="1"/>
    <col min="1301" max="1301" width="7.85546875" style="13" customWidth="1"/>
    <col min="1302" max="1302" width="9.140625" style="13"/>
    <col min="1303" max="1303" width="10" style="13" customWidth="1"/>
    <col min="1304" max="1304" width="10.140625" style="13" customWidth="1"/>
    <col min="1305" max="1305" width="9.140625" style="13"/>
    <col min="1306" max="1306" width="9.85546875" style="13" customWidth="1"/>
    <col min="1307" max="1307" width="10.140625" style="13" customWidth="1"/>
    <col min="1308" max="1308" width="9.140625" style="13"/>
    <col min="1309" max="1309" width="9.85546875" style="13" customWidth="1"/>
    <col min="1310" max="1310" width="10.28515625" style="13" customWidth="1"/>
    <col min="1311" max="1553" width="9.140625" style="13"/>
    <col min="1554" max="1554" width="16.140625" style="13" customWidth="1"/>
    <col min="1555" max="1555" width="13.85546875" style="13" customWidth="1"/>
    <col min="1556" max="1556" width="8" style="13" customWidth="1"/>
    <col min="1557" max="1557" width="7.85546875" style="13" customWidth="1"/>
    <col min="1558" max="1558" width="9.140625" style="13"/>
    <col min="1559" max="1559" width="10" style="13" customWidth="1"/>
    <col min="1560" max="1560" width="10.140625" style="13" customWidth="1"/>
    <col min="1561" max="1561" width="9.140625" style="13"/>
    <col min="1562" max="1562" width="9.85546875" style="13" customWidth="1"/>
    <col min="1563" max="1563" width="10.140625" style="13" customWidth="1"/>
    <col min="1564" max="1564" width="9.140625" style="13"/>
    <col min="1565" max="1565" width="9.85546875" style="13" customWidth="1"/>
    <col min="1566" max="1566" width="10.28515625" style="13" customWidth="1"/>
    <col min="1567" max="1809" width="9.140625" style="13"/>
    <col min="1810" max="1810" width="16.140625" style="13" customWidth="1"/>
    <col min="1811" max="1811" width="13.85546875" style="13" customWidth="1"/>
    <col min="1812" max="1812" width="8" style="13" customWidth="1"/>
    <col min="1813" max="1813" width="7.85546875" style="13" customWidth="1"/>
    <col min="1814" max="1814" width="9.140625" style="13"/>
    <col min="1815" max="1815" width="10" style="13" customWidth="1"/>
    <col min="1816" max="1816" width="10.140625" style="13" customWidth="1"/>
    <col min="1817" max="1817" width="9.140625" style="13"/>
    <col min="1818" max="1818" width="9.85546875" style="13" customWidth="1"/>
    <col min="1819" max="1819" width="10.140625" style="13" customWidth="1"/>
    <col min="1820" max="1820" width="9.140625" style="13"/>
    <col min="1821" max="1821" width="9.85546875" style="13" customWidth="1"/>
    <col min="1822" max="1822" width="10.28515625" style="13" customWidth="1"/>
    <col min="1823" max="2065" width="9.140625" style="13"/>
    <col min="2066" max="2066" width="16.140625" style="13" customWidth="1"/>
    <col min="2067" max="2067" width="13.85546875" style="13" customWidth="1"/>
    <col min="2068" max="2068" width="8" style="13" customWidth="1"/>
    <col min="2069" max="2069" width="7.85546875" style="13" customWidth="1"/>
    <col min="2070" max="2070" width="9.140625" style="13"/>
    <col min="2071" max="2071" width="10" style="13" customWidth="1"/>
    <col min="2072" max="2072" width="10.140625" style="13" customWidth="1"/>
    <col min="2073" max="2073" width="9.140625" style="13"/>
    <col min="2074" max="2074" width="9.85546875" style="13" customWidth="1"/>
    <col min="2075" max="2075" width="10.140625" style="13" customWidth="1"/>
    <col min="2076" max="2076" width="9.140625" style="13"/>
    <col min="2077" max="2077" width="9.85546875" style="13" customWidth="1"/>
    <col min="2078" max="2078" width="10.28515625" style="13" customWidth="1"/>
    <col min="2079" max="2321" width="9.140625" style="13"/>
    <col min="2322" max="2322" width="16.140625" style="13" customWidth="1"/>
    <col min="2323" max="2323" width="13.85546875" style="13" customWidth="1"/>
    <col min="2324" max="2324" width="8" style="13" customWidth="1"/>
    <col min="2325" max="2325" width="7.85546875" style="13" customWidth="1"/>
    <col min="2326" max="2326" width="9.140625" style="13"/>
    <col min="2327" max="2327" width="10" style="13" customWidth="1"/>
    <col min="2328" max="2328" width="10.140625" style="13" customWidth="1"/>
    <col min="2329" max="2329" width="9.140625" style="13"/>
    <col min="2330" max="2330" width="9.85546875" style="13" customWidth="1"/>
    <col min="2331" max="2331" width="10.140625" style="13" customWidth="1"/>
    <col min="2332" max="2332" width="9.140625" style="13"/>
    <col min="2333" max="2333" width="9.85546875" style="13" customWidth="1"/>
    <col min="2334" max="2334" width="10.28515625" style="13" customWidth="1"/>
    <col min="2335" max="2577" width="9.140625" style="13"/>
    <col min="2578" max="2578" width="16.140625" style="13" customWidth="1"/>
    <col min="2579" max="2579" width="13.85546875" style="13" customWidth="1"/>
    <col min="2580" max="2580" width="8" style="13" customWidth="1"/>
    <col min="2581" max="2581" width="7.85546875" style="13" customWidth="1"/>
    <col min="2582" max="2582" width="9.140625" style="13"/>
    <col min="2583" max="2583" width="10" style="13" customWidth="1"/>
    <col min="2584" max="2584" width="10.140625" style="13" customWidth="1"/>
    <col min="2585" max="2585" width="9.140625" style="13"/>
    <col min="2586" max="2586" width="9.85546875" style="13" customWidth="1"/>
    <col min="2587" max="2587" width="10.140625" style="13" customWidth="1"/>
    <col min="2588" max="2588" width="9.140625" style="13"/>
    <col min="2589" max="2589" width="9.85546875" style="13" customWidth="1"/>
    <col min="2590" max="2590" width="10.28515625" style="13" customWidth="1"/>
    <col min="2591" max="2833" width="9.140625" style="13"/>
    <col min="2834" max="2834" width="16.140625" style="13" customWidth="1"/>
    <col min="2835" max="2835" width="13.85546875" style="13" customWidth="1"/>
    <col min="2836" max="2836" width="8" style="13" customWidth="1"/>
    <col min="2837" max="2837" width="7.85546875" style="13" customWidth="1"/>
    <col min="2838" max="2838" width="9.140625" style="13"/>
    <col min="2839" max="2839" width="10" style="13" customWidth="1"/>
    <col min="2840" max="2840" width="10.140625" style="13" customWidth="1"/>
    <col min="2841" max="2841" width="9.140625" style="13"/>
    <col min="2842" max="2842" width="9.85546875" style="13" customWidth="1"/>
    <col min="2843" max="2843" width="10.140625" style="13" customWidth="1"/>
    <col min="2844" max="2844" width="9.140625" style="13"/>
    <col min="2845" max="2845" width="9.85546875" style="13" customWidth="1"/>
    <col min="2846" max="2846" width="10.28515625" style="13" customWidth="1"/>
    <col min="2847" max="3089" width="9.140625" style="13"/>
    <col min="3090" max="3090" width="16.140625" style="13" customWidth="1"/>
    <col min="3091" max="3091" width="13.85546875" style="13" customWidth="1"/>
    <col min="3092" max="3092" width="8" style="13" customWidth="1"/>
    <col min="3093" max="3093" width="7.85546875" style="13" customWidth="1"/>
    <col min="3094" max="3094" width="9.140625" style="13"/>
    <col min="3095" max="3095" width="10" style="13" customWidth="1"/>
    <col min="3096" max="3096" width="10.140625" style="13" customWidth="1"/>
    <col min="3097" max="3097" width="9.140625" style="13"/>
    <col min="3098" max="3098" width="9.85546875" style="13" customWidth="1"/>
    <col min="3099" max="3099" width="10.140625" style="13" customWidth="1"/>
    <col min="3100" max="3100" width="9.140625" style="13"/>
    <col min="3101" max="3101" width="9.85546875" style="13" customWidth="1"/>
    <col min="3102" max="3102" width="10.28515625" style="13" customWidth="1"/>
    <col min="3103" max="3345" width="9.140625" style="13"/>
    <col min="3346" max="3346" width="16.140625" style="13" customWidth="1"/>
    <col min="3347" max="3347" width="13.85546875" style="13" customWidth="1"/>
    <col min="3348" max="3348" width="8" style="13" customWidth="1"/>
    <col min="3349" max="3349" width="7.85546875" style="13" customWidth="1"/>
    <col min="3350" max="3350" width="9.140625" style="13"/>
    <col min="3351" max="3351" width="10" style="13" customWidth="1"/>
    <col min="3352" max="3352" width="10.140625" style="13" customWidth="1"/>
    <col min="3353" max="3353" width="9.140625" style="13"/>
    <col min="3354" max="3354" width="9.85546875" style="13" customWidth="1"/>
    <col min="3355" max="3355" width="10.140625" style="13" customWidth="1"/>
    <col min="3356" max="3356" width="9.140625" style="13"/>
    <col min="3357" max="3357" width="9.85546875" style="13" customWidth="1"/>
    <col min="3358" max="3358" width="10.28515625" style="13" customWidth="1"/>
    <col min="3359" max="3601" width="9.140625" style="13"/>
    <col min="3602" max="3602" width="16.140625" style="13" customWidth="1"/>
    <col min="3603" max="3603" width="13.85546875" style="13" customWidth="1"/>
    <col min="3604" max="3604" width="8" style="13" customWidth="1"/>
    <col min="3605" max="3605" width="7.85546875" style="13" customWidth="1"/>
    <col min="3606" max="3606" width="9.140625" style="13"/>
    <col min="3607" max="3607" width="10" style="13" customWidth="1"/>
    <col min="3608" max="3608" width="10.140625" style="13" customWidth="1"/>
    <col min="3609" max="3609" width="9.140625" style="13"/>
    <col min="3610" max="3610" width="9.85546875" style="13" customWidth="1"/>
    <col min="3611" max="3611" width="10.140625" style="13" customWidth="1"/>
    <col min="3612" max="3612" width="9.140625" style="13"/>
    <col min="3613" max="3613" width="9.85546875" style="13" customWidth="1"/>
    <col min="3614" max="3614" width="10.28515625" style="13" customWidth="1"/>
    <col min="3615" max="3857" width="9.140625" style="13"/>
    <col min="3858" max="3858" width="16.140625" style="13" customWidth="1"/>
    <col min="3859" max="3859" width="13.85546875" style="13" customWidth="1"/>
    <col min="3860" max="3860" width="8" style="13" customWidth="1"/>
    <col min="3861" max="3861" width="7.85546875" style="13" customWidth="1"/>
    <col min="3862" max="3862" width="9.140625" style="13"/>
    <col min="3863" max="3863" width="10" style="13" customWidth="1"/>
    <col min="3864" max="3864" width="10.140625" style="13" customWidth="1"/>
    <col min="3865" max="3865" width="9.140625" style="13"/>
    <col min="3866" max="3866" width="9.85546875" style="13" customWidth="1"/>
    <col min="3867" max="3867" width="10.140625" style="13" customWidth="1"/>
    <col min="3868" max="3868" width="9.140625" style="13"/>
    <col min="3869" max="3869" width="9.85546875" style="13" customWidth="1"/>
    <col min="3870" max="3870" width="10.28515625" style="13" customWidth="1"/>
    <col min="3871" max="4113" width="9.140625" style="13"/>
    <col min="4114" max="4114" width="16.140625" style="13" customWidth="1"/>
    <col min="4115" max="4115" width="13.85546875" style="13" customWidth="1"/>
    <col min="4116" max="4116" width="8" style="13" customWidth="1"/>
    <col min="4117" max="4117" width="7.85546875" style="13" customWidth="1"/>
    <col min="4118" max="4118" width="9.140625" style="13"/>
    <col min="4119" max="4119" width="10" style="13" customWidth="1"/>
    <col min="4120" max="4120" width="10.140625" style="13" customWidth="1"/>
    <col min="4121" max="4121" width="9.140625" style="13"/>
    <col min="4122" max="4122" width="9.85546875" style="13" customWidth="1"/>
    <col min="4123" max="4123" width="10.140625" style="13" customWidth="1"/>
    <col min="4124" max="4124" width="9.140625" style="13"/>
    <col min="4125" max="4125" width="9.85546875" style="13" customWidth="1"/>
    <col min="4126" max="4126" width="10.28515625" style="13" customWidth="1"/>
    <col min="4127" max="4369" width="9.140625" style="13"/>
    <col min="4370" max="4370" width="16.140625" style="13" customWidth="1"/>
    <col min="4371" max="4371" width="13.85546875" style="13" customWidth="1"/>
    <col min="4372" max="4372" width="8" style="13" customWidth="1"/>
    <col min="4373" max="4373" width="7.85546875" style="13" customWidth="1"/>
    <col min="4374" max="4374" width="9.140625" style="13"/>
    <col min="4375" max="4375" width="10" style="13" customWidth="1"/>
    <col min="4376" max="4376" width="10.140625" style="13" customWidth="1"/>
    <col min="4377" max="4377" width="9.140625" style="13"/>
    <col min="4378" max="4378" width="9.85546875" style="13" customWidth="1"/>
    <col min="4379" max="4379" width="10.140625" style="13" customWidth="1"/>
    <col min="4380" max="4380" width="9.140625" style="13"/>
    <col min="4381" max="4381" width="9.85546875" style="13" customWidth="1"/>
    <col min="4382" max="4382" width="10.28515625" style="13" customWidth="1"/>
    <col min="4383" max="4625" width="9.140625" style="13"/>
    <col min="4626" max="4626" width="16.140625" style="13" customWidth="1"/>
    <col min="4627" max="4627" width="13.85546875" style="13" customWidth="1"/>
    <col min="4628" max="4628" width="8" style="13" customWidth="1"/>
    <col min="4629" max="4629" width="7.85546875" style="13" customWidth="1"/>
    <col min="4630" max="4630" width="9.140625" style="13"/>
    <col min="4631" max="4631" width="10" style="13" customWidth="1"/>
    <col min="4632" max="4632" width="10.140625" style="13" customWidth="1"/>
    <col min="4633" max="4633" width="9.140625" style="13"/>
    <col min="4634" max="4634" width="9.85546875" style="13" customWidth="1"/>
    <col min="4635" max="4635" width="10.140625" style="13" customWidth="1"/>
    <col min="4636" max="4636" width="9.140625" style="13"/>
    <col min="4637" max="4637" width="9.85546875" style="13" customWidth="1"/>
    <col min="4638" max="4638" width="10.28515625" style="13" customWidth="1"/>
    <col min="4639" max="4881" width="9.140625" style="13"/>
    <col min="4882" max="4882" width="16.140625" style="13" customWidth="1"/>
    <col min="4883" max="4883" width="13.85546875" style="13" customWidth="1"/>
    <col min="4884" max="4884" width="8" style="13" customWidth="1"/>
    <col min="4885" max="4885" width="7.85546875" style="13" customWidth="1"/>
    <col min="4886" max="4886" width="9.140625" style="13"/>
    <col min="4887" max="4887" width="10" style="13" customWidth="1"/>
    <col min="4888" max="4888" width="10.140625" style="13" customWidth="1"/>
    <col min="4889" max="4889" width="9.140625" style="13"/>
    <col min="4890" max="4890" width="9.85546875" style="13" customWidth="1"/>
    <col min="4891" max="4891" width="10.140625" style="13" customWidth="1"/>
    <col min="4892" max="4892" width="9.140625" style="13"/>
    <col min="4893" max="4893" width="9.85546875" style="13" customWidth="1"/>
    <col min="4894" max="4894" width="10.28515625" style="13" customWidth="1"/>
    <col min="4895" max="5137" width="9.140625" style="13"/>
    <col min="5138" max="5138" width="16.140625" style="13" customWidth="1"/>
    <col min="5139" max="5139" width="13.85546875" style="13" customWidth="1"/>
    <col min="5140" max="5140" width="8" style="13" customWidth="1"/>
    <col min="5141" max="5141" width="7.85546875" style="13" customWidth="1"/>
    <col min="5142" max="5142" width="9.140625" style="13"/>
    <col min="5143" max="5143" width="10" style="13" customWidth="1"/>
    <col min="5144" max="5144" width="10.140625" style="13" customWidth="1"/>
    <col min="5145" max="5145" width="9.140625" style="13"/>
    <col min="5146" max="5146" width="9.85546875" style="13" customWidth="1"/>
    <col min="5147" max="5147" width="10.140625" style="13" customWidth="1"/>
    <col min="5148" max="5148" width="9.140625" style="13"/>
    <col min="5149" max="5149" width="9.85546875" style="13" customWidth="1"/>
    <col min="5150" max="5150" width="10.28515625" style="13" customWidth="1"/>
    <col min="5151" max="5393" width="9.140625" style="13"/>
    <col min="5394" max="5394" width="16.140625" style="13" customWidth="1"/>
    <col min="5395" max="5395" width="13.85546875" style="13" customWidth="1"/>
    <col min="5396" max="5396" width="8" style="13" customWidth="1"/>
    <col min="5397" max="5397" width="7.85546875" style="13" customWidth="1"/>
    <col min="5398" max="5398" width="9.140625" style="13"/>
    <col min="5399" max="5399" width="10" style="13" customWidth="1"/>
    <col min="5400" max="5400" width="10.140625" style="13" customWidth="1"/>
    <col min="5401" max="5401" width="9.140625" style="13"/>
    <col min="5402" max="5402" width="9.85546875" style="13" customWidth="1"/>
    <col min="5403" max="5403" width="10.140625" style="13" customWidth="1"/>
    <col min="5404" max="5404" width="9.140625" style="13"/>
    <col min="5405" max="5405" width="9.85546875" style="13" customWidth="1"/>
    <col min="5406" max="5406" width="10.28515625" style="13" customWidth="1"/>
    <col min="5407" max="5649" width="9.140625" style="13"/>
    <col min="5650" max="5650" width="16.140625" style="13" customWidth="1"/>
    <col min="5651" max="5651" width="13.85546875" style="13" customWidth="1"/>
    <col min="5652" max="5652" width="8" style="13" customWidth="1"/>
    <col min="5653" max="5653" width="7.85546875" style="13" customWidth="1"/>
    <col min="5654" max="5654" width="9.140625" style="13"/>
    <col min="5655" max="5655" width="10" style="13" customWidth="1"/>
    <col min="5656" max="5656" width="10.140625" style="13" customWidth="1"/>
    <col min="5657" max="5657" width="9.140625" style="13"/>
    <col min="5658" max="5658" width="9.85546875" style="13" customWidth="1"/>
    <col min="5659" max="5659" width="10.140625" style="13" customWidth="1"/>
    <col min="5660" max="5660" width="9.140625" style="13"/>
    <col min="5661" max="5661" width="9.85546875" style="13" customWidth="1"/>
    <col min="5662" max="5662" width="10.28515625" style="13" customWidth="1"/>
    <col min="5663" max="5905" width="9.140625" style="13"/>
    <col min="5906" max="5906" width="16.140625" style="13" customWidth="1"/>
    <col min="5907" max="5907" width="13.85546875" style="13" customWidth="1"/>
    <col min="5908" max="5908" width="8" style="13" customWidth="1"/>
    <col min="5909" max="5909" width="7.85546875" style="13" customWidth="1"/>
    <col min="5910" max="5910" width="9.140625" style="13"/>
    <col min="5911" max="5911" width="10" style="13" customWidth="1"/>
    <col min="5912" max="5912" width="10.140625" style="13" customWidth="1"/>
    <col min="5913" max="5913" width="9.140625" style="13"/>
    <col min="5914" max="5914" width="9.85546875" style="13" customWidth="1"/>
    <col min="5915" max="5915" width="10.140625" style="13" customWidth="1"/>
    <col min="5916" max="5916" width="9.140625" style="13"/>
    <col min="5917" max="5917" width="9.85546875" style="13" customWidth="1"/>
    <col min="5918" max="5918" width="10.28515625" style="13" customWidth="1"/>
    <col min="5919" max="6161" width="9.140625" style="13"/>
    <col min="6162" max="6162" width="16.140625" style="13" customWidth="1"/>
    <col min="6163" max="6163" width="13.85546875" style="13" customWidth="1"/>
    <col min="6164" max="6164" width="8" style="13" customWidth="1"/>
    <col min="6165" max="6165" width="7.85546875" style="13" customWidth="1"/>
    <col min="6166" max="6166" width="9.140625" style="13"/>
    <col min="6167" max="6167" width="10" style="13" customWidth="1"/>
    <col min="6168" max="6168" width="10.140625" style="13" customWidth="1"/>
    <col min="6169" max="6169" width="9.140625" style="13"/>
    <col min="6170" max="6170" width="9.85546875" style="13" customWidth="1"/>
    <col min="6171" max="6171" width="10.140625" style="13" customWidth="1"/>
    <col min="6172" max="6172" width="9.140625" style="13"/>
    <col min="6173" max="6173" width="9.85546875" style="13" customWidth="1"/>
    <col min="6174" max="6174" width="10.28515625" style="13" customWidth="1"/>
    <col min="6175" max="6417" width="9.140625" style="13"/>
    <col min="6418" max="6418" width="16.140625" style="13" customWidth="1"/>
    <col min="6419" max="6419" width="13.85546875" style="13" customWidth="1"/>
    <col min="6420" max="6420" width="8" style="13" customWidth="1"/>
    <col min="6421" max="6421" width="7.85546875" style="13" customWidth="1"/>
    <col min="6422" max="6422" width="9.140625" style="13"/>
    <col min="6423" max="6423" width="10" style="13" customWidth="1"/>
    <col min="6424" max="6424" width="10.140625" style="13" customWidth="1"/>
    <col min="6425" max="6425" width="9.140625" style="13"/>
    <col min="6426" max="6426" width="9.85546875" style="13" customWidth="1"/>
    <col min="6427" max="6427" width="10.140625" style="13" customWidth="1"/>
    <col min="6428" max="6428" width="9.140625" style="13"/>
    <col min="6429" max="6429" width="9.85546875" style="13" customWidth="1"/>
    <col min="6430" max="6430" width="10.28515625" style="13" customWidth="1"/>
    <col min="6431" max="6673" width="9.140625" style="13"/>
    <col min="6674" max="6674" width="16.140625" style="13" customWidth="1"/>
    <col min="6675" max="6675" width="13.85546875" style="13" customWidth="1"/>
    <col min="6676" max="6676" width="8" style="13" customWidth="1"/>
    <col min="6677" max="6677" width="7.85546875" style="13" customWidth="1"/>
    <col min="6678" max="6678" width="9.140625" style="13"/>
    <col min="6679" max="6679" width="10" style="13" customWidth="1"/>
    <col min="6680" max="6680" width="10.140625" style="13" customWidth="1"/>
    <col min="6681" max="6681" width="9.140625" style="13"/>
    <col min="6682" max="6682" width="9.85546875" style="13" customWidth="1"/>
    <col min="6683" max="6683" width="10.140625" style="13" customWidth="1"/>
    <col min="6684" max="6684" width="9.140625" style="13"/>
    <col min="6685" max="6685" width="9.85546875" style="13" customWidth="1"/>
    <col min="6686" max="6686" width="10.28515625" style="13" customWidth="1"/>
    <col min="6687" max="6929" width="9.140625" style="13"/>
    <col min="6930" max="6930" width="16.140625" style="13" customWidth="1"/>
    <col min="6931" max="6931" width="13.85546875" style="13" customWidth="1"/>
    <col min="6932" max="6932" width="8" style="13" customWidth="1"/>
    <col min="6933" max="6933" width="7.85546875" style="13" customWidth="1"/>
    <col min="6934" max="6934" width="9.140625" style="13"/>
    <col min="6935" max="6935" width="10" style="13" customWidth="1"/>
    <col min="6936" max="6936" width="10.140625" style="13" customWidth="1"/>
    <col min="6937" max="6937" width="9.140625" style="13"/>
    <col min="6938" max="6938" width="9.85546875" style="13" customWidth="1"/>
    <col min="6939" max="6939" width="10.140625" style="13" customWidth="1"/>
    <col min="6940" max="6940" width="9.140625" style="13"/>
    <col min="6941" max="6941" width="9.85546875" style="13" customWidth="1"/>
    <col min="6942" max="6942" width="10.28515625" style="13" customWidth="1"/>
    <col min="6943" max="7185" width="9.140625" style="13"/>
    <col min="7186" max="7186" width="16.140625" style="13" customWidth="1"/>
    <col min="7187" max="7187" width="13.85546875" style="13" customWidth="1"/>
    <col min="7188" max="7188" width="8" style="13" customWidth="1"/>
    <col min="7189" max="7189" width="7.85546875" style="13" customWidth="1"/>
    <col min="7190" max="7190" width="9.140625" style="13"/>
    <col min="7191" max="7191" width="10" style="13" customWidth="1"/>
    <col min="7192" max="7192" width="10.140625" style="13" customWidth="1"/>
    <col min="7193" max="7193" width="9.140625" style="13"/>
    <col min="7194" max="7194" width="9.85546875" style="13" customWidth="1"/>
    <col min="7195" max="7195" width="10.140625" style="13" customWidth="1"/>
    <col min="7196" max="7196" width="9.140625" style="13"/>
    <col min="7197" max="7197" width="9.85546875" style="13" customWidth="1"/>
    <col min="7198" max="7198" width="10.28515625" style="13" customWidth="1"/>
    <col min="7199" max="7441" width="9.140625" style="13"/>
    <col min="7442" max="7442" width="16.140625" style="13" customWidth="1"/>
    <col min="7443" max="7443" width="13.85546875" style="13" customWidth="1"/>
    <col min="7444" max="7444" width="8" style="13" customWidth="1"/>
    <col min="7445" max="7445" width="7.85546875" style="13" customWidth="1"/>
    <col min="7446" max="7446" width="9.140625" style="13"/>
    <col min="7447" max="7447" width="10" style="13" customWidth="1"/>
    <col min="7448" max="7448" width="10.140625" style="13" customWidth="1"/>
    <col min="7449" max="7449" width="9.140625" style="13"/>
    <col min="7450" max="7450" width="9.85546875" style="13" customWidth="1"/>
    <col min="7451" max="7451" width="10.140625" style="13" customWidth="1"/>
    <col min="7452" max="7452" width="9.140625" style="13"/>
    <col min="7453" max="7453" width="9.85546875" style="13" customWidth="1"/>
    <col min="7454" max="7454" width="10.28515625" style="13" customWidth="1"/>
    <col min="7455" max="7697" width="9.140625" style="13"/>
    <col min="7698" max="7698" width="16.140625" style="13" customWidth="1"/>
    <col min="7699" max="7699" width="13.85546875" style="13" customWidth="1"/>
    <col min="7700" max="7700" width="8" style="13" customWidth="1"/>
    <col min="7701" max="7701" width="7.85546875" style="13" customWidth="1"/>
    <col min="7702" max="7702" width="9.140625" style="13"/>
    <col min="7703" max="7703" width="10" style="13" customWidth="1"/>
    <col min="7704" max="7704" width="10.140625" style="13" customWidth="1"/>
    <col min="7705" max="7705" width="9.140625" style="13"/>
    <col min="7706" max="7706" width="9.85546875" style="13" customWidth="1"/>
    <col min="7707" max="7707" width="10.140625" style="13" customWidth="1"/>
    <col min="7708" max="7708" width="9.140625" style="13"/>
    <col min="7709" max="7709" width="9.85546875" style="13" customWidth="1"/>
    <col min="7710" max="7710" width="10.28515625" style="13" customWidth="1"/>
    <col min="7711" max="7953" width="9.140625" style="13"/>
    <col min="7954" max="7954" width="16.140625" style="13" customWidth="1"/>
    <col min="7955" max="7955" width="13.85546875" style="13" customWidth="1"/>
    <col min="7956" max="7956" width="8" style="13" customWidth="1"/>
    <col min="7957" max="7957" width="7.85546875" style="13" customWidth="1"/>
    <col min="7958" max="7958" width="9.140625" style="13"/>
    <col min="7959" max="7959" width="10" style="13" customWidth="1"/>
    <col min="7960" max="7960" width="10.140625" style="13" customWidth="1"/>
    <col min="7961" max="7961" width="9.140625" style="13"/>
    <col min="7962" max="7962" width="9.85546875" style="13" customWidth="1"/>
    <col min="7963" max="7963" width="10.140625" style="13" customWidth="1"/>
    <col min="7964" max="7964" width="9.140625" style="13"/>
    <col min="7965" max="7965" width="9.85546875" style="13" customWidth="1"/>
    <col min="7966" max="7966" width="10.28515625" style="13" customWidth="1"/>
    <col min="7967" max="8209" width="9.140625" style="13"/>
    <col min="8210" max="8210" width="16.140625" style="13" customWidth="1"/>
    <col min="8211" max="8211" width="13.85546875" style="13" customWidth="1"/>
    <col min="8212" max="8212" width="8" style="13" customWidth="1"/>
    <col min="8213" max="8213" width="7.85546875" style="13" customWidth="1"/>
    <col min="8214" max="8214" width="9.140625" style="13"/>
    <col min="8215" max="8215" width="10" style="13" customWidth="1"/>
    <col min="8216" max="8216" width="10.140625" style="13" customWidth="1"/>
    <col min="8217" max="8217" width="9.140625" style="13"/>
    <col min="8218" max="8218" width="9.85546875" style="13" customWidth="1"/>
    <col min="8219" max="8219" width="10.140625" style="13" customWidth="1"/>
    <col min="8220" max="8220" width="9.140625" style="13"/>
    <col min="8221" max="8221" width="9.85546875" style="13" customWidth="1"/>
    <col min="8222" max="8222" width="10.28515625" style="13" customWidth="1"/>
    <col min="8223" max="8465" width="9.140625" style="13"/>
    <col min="8466" max="8466" width="16.140625" style="13" customWidth="1"/>
    <col min="8467" max="8467" width="13.85546875" style="13" customWidth="1"/>
    <col min="8468" max="8468" width="8" style="13" customWidth="1"/>
    <col min="8469" max="8469" width="7.85546875" style="13" customWidth="1"/>
    <col min="8470" max="8470" width="9.140625" style="13"/>
    <col min="8471" max="8471" width="10" style="13" customWidth="1"/>
    <col min="8472" max="8472" width="10.140625" style="13" customWidth="1"/>
    <col min="8473" max="8473" width="9.140625" style="13"/>
    <col min="8474" max="8474" width="9.85546875" style="13" customWidth="1"/>
    <col min="8475" max="8475" width="10.140625" style="13" customWidth="1"/>
    <col min="8476" max="8476" width="9.140625" style="13"/>
    <col min="8477" max="8477" width="9.85546875" style="13" customWidth="1"/>
    <col min="8478" max="8478" width="10.28515625" style="13" customWidth="1"/>
    <col min="8479" max="8721" width="9.140625" style="13"/>
    <col min="8722" max="8722" width="16.140625" style="13" customWidth="1"/>
    <col min="8723" max="8723" width="13.85546875" style="13" customWidth="1"/>
    <col min="8724" max="8724" width="8" style="13" customWidth="1"/>
    <col min="8725" max="8725" width="7.85546875" style="13" customWidth="1"/>
    <col min="8726" max="8726" width="9.140625" style="13"/>
    <col min="8727" max="8727" width="10" style="13" customWidth="1"/>
    <col min="8728" max="8728" width="10.140625" style="13" customWidth="1"/>
    <col min="8729" max="8729" width="9.140625" style="13"/>
    <col min="8730" max="8730" width="9.85546875" style="13" customWidth="1"/>
    <col min="8731" max="8731" width="10.140625" style="13" customWidth="1"/>
    <col min="8732" max="8732" width="9.140625" style="13"/>
    <col min="8733" max="8733" width="9.85546875" style="13" customWidth="1"/>
    <col min="8734" max="8734" width="10.28515625" style="13" customWidth="1"/>
    <col min="8735" max="8977" width="9.140625" style="13"/>
    <col min="8978" max="8978" width="16.140625" style="13" customWidth="1"/>
    <col min="8979" max="8979" width="13.85546875" style="13" customWidth="1"/>
    <col min="8980" max="8980" width="8" style="13" customWidth="1"/>
    <col min="8981" max="8981" width="7.85546875" style="13" customWidth="1"/>
    <col min="8982" max="8982" width="9.140625" style="13"/>
    <col min="8983" max="8983" width="10" style="13" customWidth="1"/>
    <col min="8984" max="8984" width="10.140625" style="13" customWidth="1"/>
    <col min="8985" max="8985" width="9.140625" style="13"/>
    <col min="8986" max="8986" width="9.85546875" style="13" customWidth="1"/>
    <col min="8987" max="8987" width="10.140625" style="13" customWidth="1"/>
    <col min="8988" max="8988" width="9.140625" style="13"/>
    <col min="8989" max="8989" width="9.85546875" style="13" customWidth="1"/>
    <col min="8990" max="8990" width="10.28515625" style="13" customWidth="1"/>
    <col min="8991" max="9233" width="9.140625" style="13"/>
    <col min="9234" max="9234" width="16.140625" style="13" customWidth="1"/>
    <col min="9235" max="9235" width="13.85546875" style="13" customWidth="1"/>
    <col min="9236" max="9236" width="8" style="13" customWidth="1"/>
    <col min="9237" max="9237" width="7.85546875" style="13" customWidth="1"/>
    <col min="9238" max="9238" width="9.140625" style="13"/>
    <col min="9239" max="9239" width="10" style="13" customWidth="1"/>
    <col min="9240" max="9240" width="10.140625" style="13" customWidth="1"/>
    <col min="9241" max="9241" width="9.140625" style="13"/>
    <col min="9242" max="9242" width="9.85546875" style="13" customWidth="1"/>
    <col min="9243" max="9243" width="10.140625" style="13" customWidth="1"/>
    <col min="9244" max="9244" width="9.140625" style="13"/>
    <col min="9245" max="9245" width="9.85546875" style="13" customWidth="1"/>
    <col min="9246" max="9246" width="10.28515625" style="13" customWidth="1"/>
    <col min="9247" max="9489" width="9.140625" style="13"/>
    <col min="9490" max="9490" width="16.140625" style="13" customWidth="1"/>
    <col min="9491" max="9491" width="13.85546875" style="13" customWidth="1"/>
    <col min="9492" max="9492" width="8" style="13" customWidth="1"/>
    <col min="9493" max="9493" width="7.85546875" style="13" customWidth="1"/>
    <col min="9494" max="9494" width="9.140625" style="13"/>
    <col min="9495" max="9495" width="10" style="13" customWidth="1"/>
    <col min="9496" max="9496" width="10.140625" style="13" customWidth="1"/>
    <col min="9497" max="9497" width="9.140625" style="13"/>
    <col min="9498" max="9498" width="9.85546875" style="13" customWidth="1"/>
    <col min="9499" max="9499" width="10.140625" style="13" customWidth="1"/>
    <col min="9500" max="9500" width="9.140625" style="13"/>
    <col min="9501" max="9501" width="9.85546875" style="13" customWidth="1"/>
    <col min="9502" max="9502" width="10.28515625" style="13" customWidth="1"/>
    <col min="9503" max="9745" width="9.140625" style="13"/>
    <col min="9746" max="9746" width="16.140625" style="13" customWidth="1"/>
    <col min="9747" max="9747" width="13.85546875" style="13" customWidth="1"/>
    <col min="9748" max="9748" width="8" style="13" customWidth="1"/>
    <col min="9749" max="9749" width="7.85546875" style="13" customWidth="1"/>
    <col min="9750" max="9750" width="9.140625" style="13"/>
    <col min="9751" max="9751" width="10" style="13" customWidth="1"/>
    <col min="9752" max="9752" width="10.140625" style="13" customWidth="1"/>
    <col min="9753" max="9753" width="9.140625" style="13"/>
    <col min="9754" max="9754" width="9.85546875" style="13" customWidth="1"/>
    <col min="9755" max="9755" width="10.140625" style="13" customWidth="1"/>
    <col min="9756" max="9756" width="9.140625" style="13"/>
    <col min="9757" max="9757" width="9.85546875" style="13" customWidth="1"/>
    <col min="9758" max="9758" width="10.28515625" style="13" customWidth="1"/>
    <col min="9759" max="10001" width="9.140625" style="13"/>
    <col min="10002" max="10002" width="16.140625" style="13" customWidth="1"/>
    <col min="10003" max="10003" width="13.85546875" style="13" customWidth="1"/>
    <col min="10004" max="10004" width="8" style="13" customWidth="1"/>
    <col min="10005" max="10005" width="7.85546875" style="13" customWidth="1"/>
    <col min="10006" max="10006" width="9.140625" style="13"/>
    <col min="10007" max="10007" width="10" style="13" customWidth="1"/>
    <col min="10008" max="10008" width="10.140625" style="13" customWidth="1"/>
    <col min="10009" max="10009" width="9.140625" style="13"/>
    <col min="10010" max="10010" width="9.85546875" style="13" customWidth="1"/>
    <col min="10011" max="10011" width="10.140625" style="13" customWidth="1"/>
    <col min="10012" max="10012" width="9.140625" style="13"/>
    <col min="10013" max="10013" width="9.85546875" style="13" customWidth="1"/>
    <col min="10014" max="10014" width="10.28515625" style="13" customWidth="1"/>
    <col min="10015" max="10257" width="9.140625" style="13"/>
    <col min="10258" max="10258" width="16.140625" style="13" customWidth="1"/>
    <col min="10259" max="10259" width="13.85546875" style="13" customWidth="1"/>
    <col min="10260" max="10260" width="8" style="13" customWidth="1"/>
    <col min="10261" max="10261" width="7.85546875" style="13" customWidth="1"/>
    <col min="10262" max="10262" width="9.140625" style="13"/>
    <col min="10263" max="10263" width="10" style="13" customWidth="1"/>
    <col min="10264" max="10264" width="10.140625" style="13" customWidth="1"/>
    <col min="10265" max="10265" width="9.140625" style="13"/>
    <col min="10266" max="10266" width="9.85546875" style="13" customWidth="1"/>
    <col min="10267" max="10267" width="10.140625" style="13" customWidth="1"/>
    <col min="10268" max="10268" width="9.140625" style="13"/>
    <col min="10269" max="10269" width="9.85546875" style="13" customWidth="1"/>
    <col min="10270" max="10270" width="10.28515625" style="13" customWidth="1"/>
    <col min="10271" max="10513" width="9.140625" style="13"/>
    <col min="10514" max="10514" width="16.140625" style="13" customWidth="1"/>
    <col min="10515" max="10515" width="13.85546875" style="13" customWidth="1"/>
    <col min="10516" max="10516" width="8" style="13" customWidth="1"/>
    <col min="10517" max="10517" width="7.85546875" style="13" customWidth="1"/>
    <col min="10518" max="10518" width="9.140625" style="13"/>
    <col min="10519" max="10519" width="10" style="13" customWidth="1"/>
    <col min="10520" max="10520" width="10.140625" style="13" customWidth="1"/>
    <col min="10521" max="10521" width="9.140625" style="13"/>
    <col min="10522" max="10522" width="9.85546875" style="13" customWidth="1"/>
    <col min="10523" max="10523" width="10.140625" style="13" customWidth="1"/>
    <col min="10524" max="10524" width="9.140625" style="13"/>
    <col min="10525" max="10525" width="9.85546875" style="13" customWidth="1"/>
    <col min="10526" max="10526" width="10.28515625" style="13" customWidth="1"/>
    <col min="10527" max="10769" width="9.140625" style="13"/>
    <col min="10770" max="10770" width="16.140625" style="13" customWidth="1"/>
    <col min="10771" max="10771" width="13.85546875" style="13" customWidth="1"/>
    <col min="10772" max="10772" width="8" style="13" customWidth="1"/>
    <col min="10773" max="10773" width="7.85546875" style="13" customWidth="1"/>
    <col min="10774" max="10774" width="9.140625" style="13"/>
    <col min="10775" max="10775" width="10" style="13" customWidth="1"/>
    <col min="10776" max="10776" width="10.140625" style="13" customWidth="1"/>
    <col min="10777" max="10777" width="9.140625" style="13"/>
    <col min="10778" max="10778" width="9.85546875" style="13" customWidth="1"/>
    <col min="10779" max="10779" width="10.140625" style="13" customWidth="1"/>
    <col min="10780" max="10780" width="9.140625" style="13"/>
    <col min="10781" max="10781" width="9.85546875" style="13" customWidth="1"/>
    <col min="10782" max="10782" width="10.28515625" style="13" customWidth="1"/>
    <col min="10783" max="11025" width="9.140625" style="13"/>
    <col min="11026" max="11026" width="16.140625" style="13" customWidth="1"/>
    <col min="11027" max="11027" width="13.85546875" style="13" customWidth="1"/>
    <col min="11028" max="11028" width="8" style="13" customWidth="1"/>
    <col min="11029" max="11029" width="7.85546875" style="13" customWidth="1"/>
    <col min="11030" max="11030" width="9.140625" style="13"/>
    <col min="11031" max="11031" width="10" style="13" customWidth="1"/>
    <col min="11032" max="11032" width="10.140625" style="13" customWidth="1"/>
    <col min="11033" max="11033" width="9.140625" style="13"/>
    <col min="11034" max="11034" width="9.85546875" style="13" customWidth="1"/>
    <col min="11035" max="11035" width="10.140625" style="13" customWidth="1"/>
    <col min="11036" max="11036" width="9.140625" style="13"/>
    <col min="11037" max="11037" width="9.85546875" style="13" customWidth="1"/>
    <col min="11038" max="11038" width="10.28515625" style="13" customWidth="1"/>
    <col min="11039" max="11281" width="9.140625" style="13"/>
    <col min="11282" max="11282" width="16.140625" style="13" customWidth="1"/>
    <col min="11283" max="11283" width="13.85546875" style="13" customWidth="1"/>
    <col min="11284" max="11284" width="8" style="13" customWidth="1"/>
    <col min="11285" max="11285" width="7.85546875" style="13" customWidth="1"/>
    <col min="11286" max="11286" width="9.140625" style="13"/>
    <col min="11287" max="11287" width="10" style="13" customWidth="1"/>
    <col min="11288" max="11288" width="10.140625" style="13" customWidth="1"/>
    <col min="11289" max="11289" width="9.140625" style="13"/>
    <col min="11290" max="11290" width="9.85546875" style="13" customWidth="1"/>
    <col min="11291" max="11291" width="10.140625" style="13" customWidth="1"/>
    <col min="11292" max="11292" width="9.140625" style="13"/>
    <col min="11293" max="11293" width="9.85546875" style="13" customWidth="1"/>
    <col min="11294" max="11294" width="10.28515625" style="13" customWidth="1"/>
    <col min="11295" max="11537" width="9.140625" style="13"/>
    <col min="11538" max="11538" width="16.140625" style="13" customWidth="1"/>
    <col min="11539" max="11539" width="13.85546875" style="13" customWidth="1"/>
    <col min="11540" max="11540" width="8" style="13" customWidth="1"/>
    <col min="11541" max="11541" width="7.85546875" style="13" customWidth="1"/>
    <col min="11542" max="11542" width="9.140625" style="13"/>
    <col min="11543" max="11543" width="10" style="13" customWidth="1"/>
    <col min="11544" max="11544" width="10.140625" style="13" customWidth="1"/>
    <col min="11545" max="11545" width="9.140625" style="13"/>
    <col min="11546" max="11546" width="9.85546875" style="13" customWidth="1"/>
    <col min="11547" max="11547" width="10.140625" style="13" customWidth="1"/>
    <col min="11548" max="11548" width="9.140625" style="13"/>
    <col min="11549" max="11549" width="9.85546875" style="13" customWidth="1"/>
    <col min="11550" max="11550" width="10.28515625" style="13" customWidth="1"/>
    <col min="11551" max="11793" width="9.140625" style="13"/>
    <col min="11794" max="11794" width="16.140625" style="13" customWidth="1"/>
    <col min="11795" max="11795" width="13.85546875" style="13" customWidth="1"/>
    <col min="11796" max="11796" width="8" style="13" customWidth="1"/>
    <col min="11797" max="11797" width="7.85546875" style="13" customWidth="1"/>
    <col min="11798" max="11798" width="9.140625" style="13"/>
    <col min="11799" max="11799" width="10" style="13" customWidth="1"/>
    <col min="11800" max="11800" width="10.140625" style="13" customWidth="1"/>
    <col min="11801" max="11801" width="9.140625" style="13"/>
    <col min="11802" max="11802" width="9.85546875" style="13" customWidth="1"/>
    <col min="11803" max="11803" width="10.140625" style="13" customWidth="1"/>
    <col min="11804" max="11804" width="9.140625" style="13"/>
    <col min="11805" max="11805" width="9.85546875" style="13" customWidth="1"/>
    <col min="11806" max="11806" width="10.28515625" style="13" customWidth="1"/>
    <col min="11807" max="12049" width="9.140625" style="13"/>
    <col min="12050" max="12050" width="16.140625" style="13" customWidth="1"/>
    <col min="12051" max="12051" width="13.85546875" style="13" customWidth="1"/>
    <col min="12052" max="12052" width="8" style="13" customWidth="1"/>
    <col min="12053" max="12053" width="7.85546875" style="13" customWidth="1"/>
    <col min="12054" max="12054" width="9.140625" style="13"/>
    <col min="12055" max="12055" width="10" style="13" customWidth="1"/>
    <col min="12056" max="12056" width="10.140625" style="13" customWidth="1"/>
    <col min="12057" max="12057" width="9.140625" style="13"/>
    <col min="12058" max="12058" width="9.85546875" style="13" customWidth="1"/>
    <col min="12059" max="12059" width="10.140625" style="13" customWidth="1"/>
    <col min="12060" max="12060" width="9.140625" style="13"/>
    <col min="12061" max="12061" width="9.85546875" style="13" customWidth="1"/>
    <col min="12062" max="12062" width="10.28515625" style="13" customWidth="1"/>
    <col min="12063" max="12305" width="9.140625" style="13"/>
    <col min="12306" max="12306" width="16.140625" style="13" customWidth="1"/>
    <col min="12307" max="12307" width="13.85546875" style="13" customWidth="1"/>
    <col min="12308" max="12308" width="8" style="13" customWidth="1"/>
    <col min="12309" max="12309" width="7.85546875" style="13" customWidth="1"/>
    <col min="12310" max="12310" width="9.140625" style="13"/>
    <col min="12311" max="12311" width="10" style="13" customWidth="1"/>
    <col min="12312" max="12312" width="10.140625" style="13" customWidth="1"/>
    <col min="12313" max="12313" width="9.140625" style="13"/>
    <col min="12314" max="12314" width="9.85546875" style="13" customWidth="1"/>
    <col min="12315" max="12315" width="10.140625" style="13" customWidth="1"/>
    <col min="12316" max="12316" width="9.140625" style="13"/>
    <col min="12317" max="12317" width="9.85546875" style="13" customWidth="1"/>
    <col min="12318" max="12318" width="10.28515625" style="13" customWidth="1"/>
    <col min="12319" max="12561" width="9.140625" style="13"/>
    <col min="12562" max="12562" width="16.140625" style="13" customWidth="1"/>
    <col min="12563" max="12563" width="13.85546875" style="13" customWidth="1"/>
    <col min="12564" max="12564" width="8" style="13" customWidth="1"/>
    <col min="12565" max="12565" width="7.85546875" style="13" customWidth="1"/>
    <col min="12566" max="12566" width="9.140625" style="13"/>
    <col min="12567" max="12567" width="10" style="13" customWidth="1"/>
    <col min="12568" max="12568" width="10.140625" style="13" customWidth="1"/>
    <col min="12569" max="12569" width="9.140625" style="13"/>
    <col min="12570" max="12570" width="9.85546875" style="13" customWidth="1"/>
    <col min="12571" max="12571" width="10.140625" style="13" customWidth="1"/>
    <col min="12572" max="12572" width="9.140625" style="13"/>
    <col min="12573" max="12573" width="9.85546875" style="13" customWidth="1"/>
    <col min="12574" max="12574" width="10.28515625" style="13" customWidth="1"/>
    <col min="12575" max="12817" width="9.140625" style="13"/>
    <col min="12818" max="12818" width="16.140625" style="13" customWidth="1"/>
    <col min="12819" max="12819" width="13.85546875" style="13" customWidth="1"/>
    <col min="12820" max="12820" width="8" style="13" customWidth="1"/>
    <col min="12821" max="12821" width="7.85546875" style="13" customWidth="1"/>
    <col min="12822" max="12822" width="9.140625" style="13"/>
    <col min="12823" max="12823" width="10" style="13" customWidth="1"/>
    <col min="12824" max="12824" width="10.140625" style="13" customWidth="1"/>
    <col min="12825" max="12825" width="9.140625" style="13"/>
    <col min="12826" max="12826" width="9.85546875" style="13" customWidth="1"/>
    <col min="12827" max="12827" width="10.140625" style="13" customWidth="1"/>
    <col min="12828" max="12828" width="9.140625" style="13"/>
    <col min="12829" max="12829" width="9.85546875" style="13" customWidth="1"/>
    <col min="12830" max="12830" width="10.28515625" style="13" customWidth="1"/>
    <col min="12831" max="13073" width="9.140625" style="13"/>
    <col min="13074" max="13074" width="16.140625" style="13" customWidth="1"/>
    <col min="13075" max="13075" width="13.85546875" style="13" customWidth="1"/>
    <col min="13076" max="13076" width="8" style="13" customWidth="1"/>
    <col min="13077" max="13077" width="7.85546875" style="13" customWidth="1"/>
    <col min="13078" max="13078" width="9.140625" style="13"/>
    <col min="13079" max="13079" width="10" style="13" customWidth="1"/>
    <col min="13080" max="13080" width="10.140625" style="13" customWidth="1"/>
    <col min="13081" max="13081" width="9.140625" style="13"/>
    <col min="13082" max="13082" width="9.85546875" style="13" customWidth="1"/>
    <col min="13083" max="13083" width="10.140625" style="13" customWidth="1"/>
    <col min="13084" max="13084" width="9.140625" style="13"/>
    <col min="13085" max="13085" width="9.85546875" style="13" customWidth="1"/>
    <col min="13086" max="13086" width="10.28515625" style="13" customWidth="1"/>
    <col min="13087" max="13329" width="9.140625" style="13"/>
    <col min="13330" max="13330" width="16.140625" style="13" customWidth="1"/>
    <col min="13331" max="13331" width="13.85546875" style="13" customWidth="1"/>
    <col min="13332" max="13332" width="8" style="13" customWidth="1"/>
    <col min="13333" max="13333" width="7.85546875" style="13" customWidth="1"/>
    <col min="13334" max="13334" width="9.140625" style="13"/>
    <col min="13335" max="13335" width="10" style="13" customWidth="1"/>
    <col min="13336" max="13336" width="10.140625" style="13" customWidth="1"/>
    <col min="13337" max="13337" width="9.140625" style="13"/>
    <col min="13338" max="13338" width="9.85546875" style="13" customWidth="1"/>
    <col min="13339" max="13339" width="10.140625" style="13" customWidth="1"/>
    <col min="13340" max="13340" width="9.140625" style="13"/>
    <col min="13341" max="13341" width="9.85546875" style="13" customWidth="1"/>
    <col min="13342" max="13342" width="10.28515625" style="13" customWidth="1"/>
    <col min="13343" max="13585" width="9.140625" style="13"/>
    <col min="13586" max="13586" width="16.140625" style="13" customWidth="1"/>
    <col min="13587" max="13587" width="13.85546875" style="13" customWidth="1"/>
    <col min="13588" max="13588" width="8" style="13" customWidth="1"/>
    <col min="13589" max="13589" width="7.85546875" style="13" customWidth="1"/>
    <col min="13590" max="13590" width="9.140625" style="13"/>
    <col min="13591" max="13591" width="10" style="13" customWidth="1"/>
    <col min="13592" max="13592" width="10.140625" style="13" customWidth="1"/>
    <col min="13593" max="13593" width="9.140625" style="13"/>
    <col min="13594" max="13594" width="9.85546875" style="13" customWidth="1"/>
    <col min="13595" max="13595" width="10.140625" style="13" customWidth="1"/>
    <col min="13596" max="13596" width="9.140625" style="13"/>
    <col min="13597" max="13597" width="9.85546875" style="13" customWidth="1"/>
    <col min="13598" max="13598" width="10.28515625" style="13" customWidth="1"/>
    <col min="13599" max="13841" width="9.140625" style="13"/>
    <col min="13842" max="13842" width="16.140625" style="13" customWidth="1"/>
    <col min="13843" max="13843" width="13.85546875" style="13" customWidth="1"/>
    <col min="13844" max="13844" width="8" style="13" customWidth="1"/>
    <col min="13845" max="13845" width="7.85546875" style="13" customWidth="1"/>
    <col min="13846" max="13846" width="9.140625" style="13"/>
    <col min="13847" max="13847" width="10" style="13" customWidth="1"/>
    <col min="13848" max="13848" width="10.140625" style="13" customWidth="1"/>
    <col min="13849" max="13849" width="9.140625" style="13"/>
    <col min="13850" max="13850" width="9.85546875" style="13" customWidth="1"/>
    <col min="13851" max="13851" width="10.140625" style="13" customWidth="1"/>
    <col min="13852" max="13852" width="9.140625" style="13"/>
    <col min="13853" max="13853" width="9.85546875" style="13" customWidth="1"/>
    <col min="13854" max="13854" width="10.28515625" style="13" customWidth="1"/>
    <col min="13855" max="14097" width="9.140625" style="13"/>
    <col min="14098" max="14098" width="16.140625" style="13" customWidth="1"/>
    <col min="14099" max="14099" width="13.85546875" style="13" customWidth="1"/>
    <col min="14100" max="14100" width="8" style="13" customWidth="1"/>
    <col min="14101" max="14101" width="7.85546875" style="13" customWidth="1"/>
    <col min="14102" max="14102" width="9.140625" style="13"/>
    <col min="14103" max="14103" width="10" style="13" customWidth="1"/>
    <col min="14104" max="14104" width="10.140625" style="13" customWidth="1"/>
    <col min="14105" max="14105" width="9.140625" style="13"/>
    <col min="14106" max="14106" width="9.85546875" style="13" customWidth="1"/>
    <col min="14107" max="14107" width="10.140625" style="13" customWidth="1"/>
    <col min="14108" max="14108" width="9.140625" style="13"/>
    <col min="14109" max="14109" width="9.85546875" style="13" customWidth="1"/>
    <col min="14110" max="14110" width="10.28515625" style="13" customWidth="1"/>
    <col min="14111" max="14353" width="9.140625" style="13"/>
    <col min="14354" max="14354" width="16.140625" style="13" customWidth="1"/>
    <col min="14355" max="14355" width="13.85546875" style="13" customWidth="1"/>
    <col min="14356" max="14356" width="8" style="13" customWidth="1"/>
    <col min="14357" max="14357" width="7.85546875" style="13" customWidth="1"/>
    <col min="14358" max="14358" width="9.140625" style="13"/>
    <col min="14359" max="14359" width="10" style="13" customWidth="1"/>
    <col min="14360" max="14360" width="10.140625" style="13" customWidth="1"/>
    <col min="14361" max="14361" width="9.140625" style="13"/>
    <col min="14362" max="14362" width="9.85546875" style="13" customWidth="1"/>
    <col min="14363" max="14363" width="10.140625" style="13" customWidth="1"/>
    <col min="14364" max="14364" width="9.140625" style="13"/>
    <col min="14365" max="14365" width="9.85546875" style="13" customWidth="1"/>
    <col min="14366" max="14366" width="10.28515625" style="13" customWidth="1"/>
    <col min="14367" max="14609" width="9.140625" style="13"/>
    <col min="14610" max="14610" width="16.140625" style="13" customWidth="1"/>
    <col min="14611" max="14611" width="13.85546875" style="13" customWidth="1"/>
    <col min="14612" max="14612" width="8" style="13" customWidth="1"/>
    <col min="14613" max="14613" width="7.85546875" style="13" customWidth="1"/>
    <col min="14614" max="14614" width="9.140625" style="13"/>
    <col min="14615" max="14615" width="10" style="13" customWidth="1"/>
    <col min="14616" max="14616" width="10.140625" style="13" customWidth="1"/>
    <col min="14617" max="14617" width="9.140625" style="13"/>
    <col min="14618" max="14618" width="9.85546875" style="13" customWidth="1"/>
    <col min="14619" max="14619" width="10.140625" style="13" customWidth="1"/>
    <col min="14620" max="14620" width="9.140625" style="13"/>
    <col min="14621" max="14621" width="9.85546875" style="13" customWidth="1"/>
    <col min="14622" max="14622" width="10.28515625" style="13" customWidth="1"/>
    <col min="14623" max="14865" width="9.140625" style="13"/>
    <col min="14866" max="14866" width="16.140625" style="13" customWidth="1"/>
    <col min="14867" max="14867" width="13.85546875" style="13" customWidth="1"/>
    <col min="14868" max="14868" width="8" style="13" customWidth="1"/>
    <col min="14869" max="14869" width="7.85546875" style="13" customWidth="1"/>
    <col min="14870" max="14870" width="9.140625" style="13"/>
    <col min="14871" max="14871" width="10" style="13" customWidth="1"/>
    <col min="14872" max="14872" width="10.140625" style="13" customWidth="1"/>
    <col min="14873" max="14873" width="9.140625" style="13"/>
    <col min="14874" max="14874" width="9.85546875" style="13" customWidth="1"/>
    <col min="14875" max="14875" width="10.140625" style="13" customWidth="1"/>
    <col min="14876" max="14876" width="9.140625" style="13"/>
    <col min="14877" max="14877" width="9.85546875" style="13" customWidth="1"/>
    <col min="14878" max="14878" width="10.28515625" style="13" customWidth="1"/>
    <col min="14879" max="15121" width="9.140625" style="13"/>
    <col min="15122" max="15122" width="16.140625" style="13" customWidth="1"/>
    <col min="15123" max="15123" width="13.85546875" style="13" customWidth="1"/>
    <col min="15124" max="15124" width="8" style="13" customWidth="1"/>
    <col min="15125" max="15125" width="7.85546875" style="13" customWidth="1"/>
    <col min="15126" max="15126" width="9.140625" style="13"/>
    <col min="15127" max="15127" width="10" style="13" customWidth="1"/>
    <col min="15128" max="15128" width="10.140625" style="13" customWidth="1"/>
    <col min="15129" max="15129" width="9.140625" style="13"/>
    <col min="15130" max="15130" width="9.85546875" style="13" customWidth="1"/>
    <col min="15131" max="15131" width="10.140625" style="13" customWidth="1"/>
    <col min="15132" max="15132" width="9.140625" style="13"/>
    <col min="15133" max="15133" width="9.85546875" style="13" customWidth="1"/>
    <col min="15134" max="15134" width="10.28515625" style="13" customWidth="1"/>
    <col min="15135" max="15377" width="9.140625" style="13"/>
    <col min="15378" max="15378" width="16.140625" style="13" customWidth="1"/>
    <col min="15379" max="15379" width="13.85546875" style="13" customWidth="1"/>
    <col min="15380" max="15380" width="8" style="13" customWidth="1"/>
    <col min="15381" max="15381" width="7.85546875" style="13" customWidth="1"/>
    <col min="15382" max="15382" width="9.140625" style="13"/>
    <col min="15383" max="15383" width="10" style="13" customWidth="1"/>
    <col min="15384" max="15384" width="10.140625" style="13" customWidth="1"/>
    <col min="15385" max="15385" width="9.140625" style="13"/>
    <col min="15386" max="15386" width="9.85546875" style="13" customWidth="1"/>
    <col min="15387" max="15387" width="10.140625" style="13" customWidth="1"/>
    <col min="15388" max="15388" width="9.140625" style="13"/>
    <col min="15389" max="15389" width="9.85546875" style="13" customWidth="1"/>
    <col min="15390" max="15390" width="10.28515625" style="13" customWidth="1"/>
    <col min="15391" max="15633" width="9.140625" style="13"/>
    <col min="15634" max="15634" width="16.140625" style="13" customWidth="1"/>
    <col min="15635" max="15635" width="13.85546875" style="13" customWidth="1"/>
    <col min="15636" max="15636" width="8" style="13" customWidth="1"/>
    <col min="15637" max="15637" width="7.85546875" style="13" customWidth="1"/>
    <col min="15638" max="15638" width="9.140625" style="13"/>
    <col min="15639" max="15639" width="10" style="13" customWidth="1"/>
    <col min="15640" max="15640" width="10.140625" style="13" customWidth="1"/>
    <col min="15641" max="15641" width="9.140625" style="13"/>
    <col min="15642" max="15642" width="9.85546875" style="13" customWidth="1"/>
    <col min="15643" max="15643" width="10.140625" style="13" customWidth="1"/>
    <col min="15644" max="15644" width="9.140625" style="13"/>
    <col min="15645" max="15645" width="9.85546875" style="13" customWidth="1"/>
    <col min="15646" max="15646" width="10.28515625" style="13" customWidth="1"/>
    <col min="15647" max="15889" width="9.140625" style="13"/>
    <col min="15890" max="15890" width="16.140625" style="13" customWidth="1"/>
    <col min="15891" max="15891" width="13.85546875" style="13" customWidth="1"/>
    <col min="15892" max="15892" width="8" style="13" customWidth="1"/>
    <col min="15893" max="15893" width="7.85546875" style="13" customWidth="1"/>
    <col min="15894" max="15894" width="9.140625" style="13"/>
    <col min="15895" max="15895" width="10" style="13" customWidth="1"/>
    <col min="15896" max="15896" width="10.140625" style="13" customWidth="1"/>
    <col min="15897" max="15897" width="9.140625" style="13"/>
    <col min="15898" max="15898" width="9.85546875" style="13" customWidth="1"/>
    <col min="15899" max="15899" width="10.140625" style="13" customWidth="1"/>
    <col min="15900" max="15900" width="9.140625" style="13"/>
    <col min="15901" max="15901" width="9.85546875" style="13" customWidth="1"/>
    <col min="15902" max="15902" width="10.28515625" style="13" customWidth="1"/>
    <col min="15903" max="16145" width="9.140625" style="13"/>
    <col min="16146" max="16146" width="16.140625" style="13" customWidth="1"/>
    <col min="16147" max="16147" width="13.85546875" style="13" customWidth="1"/>
    <col min="16148" max="16148" width="8" style="13" customWidth="1"/>
    <col min="16149" max="16149" width="7.85546875" style="13" customWidth="1"/>
    <col min="16150" max="16150" width="9.140625" style="13"/>
    <col min="16151" max="16151" width="10" style="13" customWidth="1"/>
    <col min="16152" max="16152" width="10.140625" style="13" customWidth="1"/>
    <col min="16153" max="16153" width="9.140625" style="13"/>
    <col min="16154" max="16154" width="9.85546875" style="13" customWidth="1"/>
    <col min="16155" max="16155" width="10.140625" style="13" customWidth="1"/>
    <col min="16156" max="16156" width="9.140625" style="13"/>
    <col min="16157" max="16157" width="9.85546875" style="13" customWidth="1"/>
    <col min="16158" max="16158" width="10.28515625" style="13" customWidth="1"/>
    <col min="16159" max="16384" width="9.140625" style="13"/>
  </cols>
  <sheetData>
    <row r="1" spans="1:31" ht="15">
      <c r="C1" s="92" t="s">
        <v>13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1">
      <c r="S2" s="14"/>
      <c r="T2" s="14"/>
      <c r="AE2" s="14" t="s">
        <v>9</v>
      </c>
    </row>
    <row r="3" spans="1:31" s="131" customFormat="1" ht="30" customHeight="1">
      <c r="A3" s="266" t="s">
        <v>0</v>
      </c>
      <c r="B3" s="266" t="s">
        <v>15</v>
      </c>
      <c r="C3" s="266" t="s">
        <v>1</v>
      </c>
      <c r="D3" s="266"/>
      <c r="E3" s="266"/>
      <c r="F3" s="271" t="s">
        <v>80</v>
      </c>
      <c r="G3" s="260" t="s">
        <v>10</v>
      </c>
      <c r="H3" s="260"/>
      <c r="I3" s="260"/>
      <c r="J3" s="260" t="s">
        <v>11</v>
      </c>
      <c r="K3" s="260"/>
      <c r="L3" s="260"/>
      <c r="M3" s="260" t="s">
        <v>12</v>
      </c>
      <c r="N3" s="260"/>
      <c r="O3" s="260"/>
      <c r="P3" s="264" t="s">
        <v>41</v>
      </c>
      <c r="Q3" s="264"/>
      <c r="R3" s="264"/>
      <c r="S3" s="257" t="s">
        <v>110</v>
      </c>
      <c r="T3" s="257"/>
      <c r="U3" s="257"/>
      <c r="V3" s="257" t="s">
        <v>121</v>
      </c>
      <c r="W3" s="257"/>
      <c r="X3" s="257"/>
      <c r="Y3" s="257" t="s">
        <v>141</v>
      </c>
      <c r="Z3" s="257"/>
      <c r="AA3" s="257"/>
      <c r="AB3" s="257" t="s">
        <v>142</v>
      </c>
      <c r="AC3" s="257"/>
      <c r="AD3" s="257"/>
      <c r="AE3" s="274" t="s">
        <v>109</v>
      </c>
    </row>
    <row r="4" spans="1:31" s="131" customFormat="1" ht="15">
      <c r="A4" s="266"/>
      <c r="B4" s="266"/>
      <c r="C4" s="266" t="s">
        <v>2</v>
      </c>
      <c r="D4" s="266" t="s">
        <v>3</v>
      </c>
      <c r="E4" s="266" t="s">
        <v>4</v>
      </c>
      <c r="F4" s="272"/>
      <c r="G4" s="261" t="s">
        <v>5</v>
      </c>
      <c r="H4" s="269" t="s">
        <v>14</v>
      </c>
      <c r="I4" s="270"/>
      <c r="J4" s="261" t="s">
        <v>5</v>
      </c>
      <c r="K4" s="269" t="s">
        <v>14</v>
      </c>
      <c r="L4" s="270"/>
      <c r="M4" s="261" t="s">
        <v>5</v>
      </c>
      <c r="N4" s="262" t="s">
        <v>14</v>
      </c>
      <c r="O4" s="262"/>
      <c r="P4" s="261" t="s">
        <v>5</v>
      </c>
      <c r="Q4" s="269" t="s">
        <v>14</v>
      </c>
      <c r="R4" s="270"/>
      <c r="S4" s="258" t="s">
        <v>5</v>
      </c>
      <c r="T4" s="267" t="s">
        <v>14</v>
      </c>
      <c r="U4" s="268"/>
      <c r="V4" s="258" t="s">
        <v>5</v>
      </c>
      <c r="W4" s="267" t="s">
        <v>14</v>
      </c>
      <c r="X4" s="268"/>
      <c r="Y4" s="258" t="s">
        <v>5</v>
      </c>
      <c r="Z4" s="267" t="s">
        <v>14</v>
      </c>
      <c r="AA4" s="268"/>
      <c r="AB4" s="258" t="s">
        <v>5</v>
      </c>
      <c r="AC4" s="267" t="s">
        <v>14</v>
      </c>
      <c r="AD4" s="268"/>
      <c r="AE4" s="275"/>
    </row>
    <row r="5" spans="1:31" s="131" customFormat="1" ht="60">
      <c r="A5" s="266"/>
      <c r="B5" s="266"/>
      <c r="C5" s="266"/>
      <c r="D5" s="266"/>
      <c r="E5" s="266"/>
      <c r="F5" s="273"/>
      <c r="G5" s="261"/>
      <c r="H5" s="152" t="s">
        <v>6</v>
      </c>
      <c r="I5" s="152" t="s">
        <v>7</v>
      </c>
      <c r="J5" s="261"/>
      <c r="K5" s="152" t="s">
        <v>6</v>
      </c>
      <c r="L5" s="152" t="s">
        <v>7</v>
      </c>
      <c r="M5" s="261"/>
      <c r="N5" s="132" t="s">
        <v>6</v>
      </c>
      <c r="O5" s="132" t="s">
        <v>7</v>
      </c>
      <c r="P5" s="261"/>
      <c r="Q5" s="152" t="s">
        <v>6</v>
      </c>
      <c r="R5" s="152" t="s">
        <v>7</v>
      </c>
      <c r="S5" s="258"/>
      <c r="T5" s="152" t="s">
        <v>6</v>
      </c>
      <c r="U5" s="152" t="s">
        <v>7</v>
      </c>
      <c r="V5" s="258"/>
      <c r="W5" s="152" t="s">
        <v>6</v>
      </c>
      <c r="X5" s="152" t="s">
        <v>7</v>
      </c>
      <c r="Y5" s="258"/>
      <c r="Z5" s="152" t="s">
        <v>6</v>
      </c>
      <c r="AA5" s="152" t="s">
        <v>7</v>
      </c>
      <c r="AB5" s="258"/>
      <c r="AC5" s="152" t="s">
        <v>6</v>
      </c>
      <c r="AD5" s="152" t="s">
        <v>7</v>
      </c>
      <c r="AE5" s="276"/>
    </row>
    <row r="6" spans="1:31" s="131" customFormat="1" ht="15">
      <c r="A6" s="133">
        <v>1</v>
      </c>
      <c r="B6" s="134" t="s">
        <v>61</v>
      </c>
      <c r="C6" s="135" t="s">
        <v>62</v>
      </c>
      <c r="D6" s="136">
        <v>4</v>
      </c>
      <c r="E6" s="136"/>
      <c r="F6" s="150">
        <f>[2]МКД!$H$346</f>
        <v>140</v>
      </c>
      <c r="G6" s="134">
        <f>I6+H6</f>
        <v>6436.02</v>
      </c>
      <c r="H6" s="134">
        <v>2874.75</v>
      </c>
      <c r="I6" s="134">
        <v>3561.27</v>
      </c>
      <c r="J6" s="134">
        <f>L6+K6</f>
        <v>8504.4399999999987</v>
      </c>
      <c r="K6" s="134">
        <v>3940</v>
      </c>
      <c r="L6" s="134">
        <v>4564.4399999999996</v>
      </c>
      <c r="M6" s="117">
        <f>O6+N6</f>
        <v>9014.27</v>
      </c>
      <c r="N6" s="117">
        <v>4149.17</v>
      </c>
      <c r="O6" s="117">
        <v>4865.1000000000004</v>
      </c>
      <c r="P6" s="134">
        <f>R6+Q6</f>
        <v>8842.23</v>
      </c>
      <c r="Q6" s="134">
        <v>4027.17</v>
      </c>
      <c r="R6" s="134">
        <v>4815.0600000000004</v>
      </c>
      <c r="S6" s="117">
        <f>U6+T6</f>
        <v>9072.92</v>
      </c>
      <c r="T6" s="117">
        <v>4287.09</v>
      </c>
      <c r="U6" s="117">
        <v>4785.83</v>
      </c>
      <c r="V6" s="117">
        <f>X6+W6</f>
        <v>8655.07</v>
      </c>
      <c r="W6" s="117">
        <v>4285.25</v>
      </c>
      <c r="X6" s="117">
        <v>4369.82</v>
      </c>
      <c r="Y6" s="137">
        <f>AA6+Z6</f>
        <v>8682.68</v>
      </c>
      <c r="Z6" s="137">
        <v>4322.9799999999996</v>
      </c>
      <c r="AA6" s="137">
        <v>4359.7</v>
      </c>
      <c r="AB6" s="116">
        <f>AD6+AC6</f>
        <v>8492.7000000000007</v>
      </c>
      <c r="AC6" s="116">
        <v>4324.88</v>
      </c>
      <c r="AD6" s="116">
        <v>4167.82</v>
      </c>
      <c r="AE6" s="153">
        <f>AB6/F6</f>
        <v>60.662142857142861</v>
      </c>
    </row>
    <row r="7" spans="1:31" s="131" customFormat="1" ht="15">
      <c r="A7" s="133">
        <f>A6+1</f>
        <v>2</v>
      </c>
      <c r="B7" s="134" t="s">
        <v>61</v>
      </c>
      <c r="C7" s="134" t="s">
        <v>48</v>
      </c>
      <c r="D7" s="140">
        <v>3</v>
      </c>
      <c r="E7" s="140"/>
      <c r="F7" s="151">
        <f>[2]МКД!$H$347</f>
        <v>218</v>
      </c>
      <c r="G7" s="134">
        <f>I7+H7</f>
        <v>4682.07</v>
      </c>
      <c r="H7" s="134">
        <v>2519.2199999999998</v>
      </c>
      <c r="I7" s="134">
        <v>2162.85</v>
      </c>
      <c r="J7" s="134">
        <f>L7+K7</f>
        <v>5801.95</v>
      </c>
      <c r="K7" s="134">
        <v>2736.56</v>
      </c>
      <c r="L7" s="134">
        <v>3065.39</v>
      </c>
      <c r="M7" s="117">
        <f>O7+N7</f>
        <v>5541.09</v>
      </c>
      <c r="N7" s="117">
        <v>2844.01</v>
      </c>
      <c r="O7" s="117">
        <v>2697.08</v>
      </c>
      <c r="P7" s="134">
        <f>R7+Q7</f>
        <v>5603.33</v>
      </c>
      <c r="Q7" s="134">
        <v>2951.34</v>
      </c>
      <c r="R7" s="134">
        <v>2651.99</v>
      </c>
      <c r="S7" s="117">
        <f>U7+T7</f>
        <v>6068.08</v>
      </c>
      <c r="T7" s="117">
        <v>3083.37</v>
      </c>
      <c r="U7" s="117">
        <v>2984.71</v>
      </c>
      <c r="V7" s="117">
        <f>X7+W7</f>
        <v>5388.6399999999994</v>
      </c>
      <c r="W7" s="117">
        <v>2871.21</v>
      </c>
      <c r="X7" s="117">
        <v>2517.4299999999998</v>
      </c>
      <c r="Y7" s="137">
        <f>AA7+Z7</f>
        <v>5109.7</v>
      </c>
      <c r="Z7" s="137">
        <v>2867.12</v>
      </c>
      <c r="AA7" s="137">
        <v>2242.58</v>
      </c>
      <c r="AB7" s="117">
        <f>AD7+AC7</f>
        <v>4851.5600000000004</v>
      </c>
      <c r="AC7" s="117">
        <v>2836.9</v>
      </c>
      <c r="AD7" s="117">
        <v>2014.66</v>
      </c>
      <c r="AE7" s="154">
        <f>AB7/F7</f>
        <v>22.254862385321104</v>
      </c>
    </row>
    <row r="8" spans="1:31" s="131" customFormat="1" ht="15">
      <c r="A8" s="133">
        <f t="shared" ref="A8:A10" si="0">A7+1</f>
        <v>3</v>
      </c>
      <c r="B8" s="134" t="s">
        <v>61</v>
      </c>
      <c r="C8" s="134" t="s">
        <v>24</v>
      </c>
      <c r="D8" s="140">
        <v>26</v>
      </c>
      <c r="E8" s="140"/>
      <c r="F8" s="151">
        <f>[2]МКД!$H$345</f>
        <v>42</v>
      </c>
      <c r="G8" s="134">
        <f>I8+H8</f>
        <v>981.27</v>
      </c>
      <c r="H8" s="134">
        <v>514.85</v>
      </c>
      <c r="I8" s="134">
        <v>466.42</v>
      </c>
      <c r="J8" s="134">
        <f>L8+K8</f>
        <v>1240.6600000000001</v>
      </c>
      <c r="K8" s="134">
        <v>601.34</v>
      </c>
      <c r="L8" s="134">
        <v>639.32000000000005</v>
      </c>
      <c r="M8" s="117">
        <f>O8+N8</f>
        <v>1224.05</v>
      </c>
      <c r="N8" s="117">
        <v>640</v>
      </c>
      <c r="O8" s="117">
        <v>584.04999999999995</v>
      </c>
      <c r="P8" s="134">
        <f>R8+Q8</f>
        <v>1284.6799999999998</v>
      </c>
      <c r="Q8" s="134">
        <v>767.63</v>
      </c>
      <c r="R8" s="134">
        <v>517.04999999999995</v>
      </c>
      <c r="S8" s="117">
        <f>U8+T8</f>
        <v>1386.3400000000001</v>
      </c>
      <c r="T8" s="117">
        <v>783.33</v>
      </c>
      <c r="U8" s="117">
        <v>603.01</v>
      </c>
      <c r="V8" s="117">
        <f>X8+W8</f>
        <v>1314.65</v>
      </c>
      <c r="W8" s="117">
        <v>816.38</v>
      </c>
      <c r="X8" s="117">
        <v>498.27</v>
      </c>
      <c r="Y8" s="137">
        <f>AA8+Z8</f>
        <v>1443.72</v>
      </c>
      <c r="Z8" s="137">
        <v>965.4</v>
      </c>
      <c r="AA8" s="137">
        <v>478.32</v>
      </c>
      <c r="AB8" s="117">
        <f>AD8+AC8</f>
        <v>1363.38</v>
      </c>
      <c r="AC8" s="117">
        <v>963.4</v>
      </c>
      <c r="AD8" s="117">
        <v>399.98</v>
      </c>
      <c r="AE8" s="154">
        <f>AB8/F8</f>
        <v>32.461428571428577</v>
      </c>
    </row>
    <row r="9" spans="1:31" s="131" customFormat="1" ht="15">
      <c r="A9" s="133">
        <f t="shared" si="0"/>
        <v>4</v>
      </c>
      <c r="B9" s="134" t="s">
        <v>61</v>
      </c>
      <c r="C9" s="134" t="s">
        <v>24</v>
      </c>
      <c r="D9" s="140">
        <v>24</v>
      </c>
      <c r="E9" s="140">
        <v>1</v>
      </c>
      <c r="F9" s="151">
        <f>[2]МКД!$H$343</f>
        <v>33</v>
      </c>
      <c r="G9" s="134">
        <f>I9+H9</f>
        <v>941.09999999999991</v>
      </c>
      <c r="H9" s="134">
        <v>530.4</v>
      </c>
      <c r="I9" s="134">
        <v>410.7</v>
      </c>
      <c r="J9" s="134">
        <f>L9+K9</f>
        <v>1030.79</v>
      </c>
      <c r="K9" s="134">
        <v>458.51</v>
      </c>
      <c r="L9" s="134">
        <v>572.28</v>
      </c>
      <c r="M9" s="117">
        <f>O9+N9</f>
        <v>1094.8</v>
      </c>
      <c r="N9" s="117">
        <v>522.29999999999995</v>
      </c>
      <c r="O9" s="117">
        <v>572.5</v>
      </c>
      <c r="P9" s="134">
        <f>R9+Q9</f>
        <v>1123.71</v>
      </c>
      <c r="Q9" s="134">
        <v>630.21</v>
      </c>
      <c r="R9" s="134">
        <v>493.5</v>
      </c>
      <c r="S9" s="117">
        <f>U9+T9</f>
        <v>1148.97</v>
      </c>
      <c r="T9" s="117">
        <v>600.07000000000005</v>
      </c>
      <c r="U9" s="117">
        <v>548.9</v>
      </c>
      <c r="V9" s="117">
        <f>X9+W9</f>
        <v>1131.45</v>
      </c>
      <c r="W9" s="117">
        <v>674.86</v>
      </c>
      <c r="X9" s="117">
        <v>456.59</v>
      </c>
      <c r="Y9" s="137">
        <f>AA9+Z9</f>
        <v>1176.71</v>
      </c>
      <c r="Z9" s="137">
        <v>742.03</v>
      </c>
      <c r="AA9" s="137">
        <v>434.68</v>
      </c>
      <c r="AB9" s="117">
        <f>AD9+AC9</f>
        <v>1128.5999999999999</v>
      </c>
      <c r="AC9" s="117">
        <v>732.03</v>
      </c>
      <c r="AD9" s="117">
        <v>396.57</v>
      </c>
      <c r="AE9" s="154">
        <f>AB9/F9</f>
        <v>34.199999999999996</v>
      </c>
    </row>
    <row r="10" spans="1:31" s="131" customFormat="1" ht="15">
      <c r="A10" s="133">
        <f t="shared" si="0"/>
        <v>5</v>
      </c>
      <c r="B10" s="134" t="s">
        <v>61</v>
      </c>
      <c r="C10" s="134" t="s">
        <v>24</v>
      </c>
      <c r="D10" s="140">
        <v>24</v>
      </c>
      <c r="E10" s="140">
        <v>2</v>
      </c>
      <c r="F10" s="151">
        <f>[2]МКД!$H$344</f>
        <v>33</v>
      </c>
      <c r="G10" s="134">
        <f>I10+H10</f>
        <v>543.01</v>
      </c>
      <c r="H10" s="134">
        <v>311.89999999999998</v>
      </c>
      <c r="I10" s="134">
        <v>231.11</v>
      </c>
      <c r="J10" s="134">
        <f>L10+K10</f>
        <v>788.36</v>
      </c>
      <c r="K10" s="134">
        <v>432.5</v>
      </c>
      <c r="L10" s="134">
        <v>355.86</v>
      </c>
      <c r="M10" s="117">
        <f>O10+N10</f>
        <v>775.12</v>
      </c>
      <c r="N10" s="117">
        <v>436.74</v>
      </c>
      <c r="O10" s="117">
        <v>338.38</v>
      </c>
      <c r="P10" s="134">
        <f>R10+Q10</f>
        <v>832.18</v>
      </c>
      <c r="Q10" s="134">
        <v>551.79999999999995</v>
      </c>
      <c r="R10" s="134">
        <v>280.38</v>
      </c>
      <c r="S10" s="117">
        <f>U10+T10</f>
        <v>878.7</v>
      </c>
      <c r="T10" s="117">
        <v>497.84</v>
      </c>
      <c r="U10" s="117">
        <v>380.86</v>
      </c>
      <c r="V10" s="117">
        <f>X10+W10</f>
        <v>830.51</v>
      </c>
      <c r="W10" s="117">
        <v>556.95000000000005</v>
      </c>
      <c r="X10" s="117">
        <v>273.56</v>
      </c>
      <c r="Y10" s="137">
        <f>AA10+Z10</f>
        <v>823.93000000000006</v>
      </c>
      <c r="Z10" s="137">
        <v>581.07000000000005</v>
      </c>
      <c r="AA10" s="137">
        <v>242.86</v>
      </c>
      <c r="AB10" s="117">
        <f>AD10+AC10</f>
        <v>783.02</v>
      </c>
      <c r="AC10" s="117">
        <v>571.04</v>
      </c>
      <c r="AD10" s="117">
        <v>211.98</v>
      </c>
      <c r="AE10" s="154">
        <f>AB10/F10</f>
        <v>23.727878787878787</v>
      </c>
    </row>
    <row r="11" spans="1:31" s="146" customFormat="1" ht="15">
      <c r="A11" s="143"/>
      <c r="B11" s="144" t="s">
        <v>60</v>
      </c>
      <c r="C11" s="144"/>
      <c r="D11" s="144"/>
      <c r="E11" s="144"/>
      <c r="F11" s="155">
        <f>SUM(F6:F10)</f>
        <v>466</v>
      </c>
      <c r="G11" s="144">
        <f t="shared" ref="G11:R11" si="1">SUM(G6:G10)</f>
        <v>13583.470000000001</v>
      </c>
      <c r="H11" s="144">
        <f t="shared" si="1"/>
        <v>6751.119999999999</v>
      </c>
      <c r="I11" s="144">
        <f t="shared" si="1"/>
        <v>6832.3499999999995</v>
      </c>
      <c r="J11" s="144">
        <f t="shared" si="1"/>
        <v>17366.2</v>
      </c>
      <c r="K11" s="144">
        <f t="shared" si="1"/>
        <v>8168.91</v>
      </c>
      <c r="L11" s="144">
        <f t="shared" si="1"/>
        <v>9197.2900000000009</v>
      </c>
      <c r="M11" s="144">
        <f>SUM(M6:M10)</f>
        <v>17649.329999999998</v>
      </c>
      <c r="N11" s="144">
        <f>SUM(N6:N10)</f>
        <v>8592.2200000000012</v>
      </c>
      <c r="O11" s="144">
        <f>SUM(O6:O10)</f>
        <v>9057.1099999999988</v>
      </c>
      <c r="P11" s="144">
        <f>SUM(P6:P10)</f>
        <v>17686.13</v>
      </c>
      <c r="Q11" s="144">
        <f t="shared" si="1"/>
        <v>8928.15</v>
      </c>
      <c r="R11" s="144">
        <f t="shared" si="1"/>
        <v>8757.98</v>
      </c>
      <c r="S11" s="26">
        <f>SUM(S6:S10)</f>
        <v>18555.010000000002</v>
      </c>
      <c r="T11" s="26">
        <f t="shared" ref="T11:AD11" si="2">SUM(T6:T10)</f>
        <v>9251.7000000000007</v>
      </c>
      <c r="U11" s="26">
        <f t="shared" si="2"/>
        <v>9303.31</v>
      </c>
      <c r="V11" s="26">
        <f>SUM(V6:V10)</f>
        <v>17320.319999999996</v>
      </c>
      <c r="W11" s="26">
        <f t="shared" si="2"/>
        <v>9204.6500000000015</v>
      </c>
      <c r="X11" s="26">
        <f t="shared" si="2"/>
        <v>8115.670000000001</v>
      </c>
      <c r="Y11" s="26">
        <f t="shared" si="2"/>
        <v>17236.740000000002</v>
      </c>
      <c r="Z11" s="26">
        <f t="shared" si="2"/>
        <v>9478.5999999999985</v>
      </c>
      <c r="AA11" s="26">
        <f t="shared" si="2"/>
        <v>7758.1399999999994</v>
      </c>
      <c r="AB11" s="26">
        <f t="shared" si="2"/>
        <v>16619.260000000002</v>
      </c>
      <c r="AC11" s="26">
        <f t="shared" si="2"/>
        <v>9428.25</v>
      </c>
      <c r="AD11" s="26">
        <f t="shared" si="2"/>
        <v>7191.0099999999984</v>
      </c>
      <c r="AE11" s="144"/>
    </row>
    <row r="13" spans="1:31" s="87" customFormat="1">
      <c r="B13" s="88" t="s">
        <v>144</v>
      </c>
    </row>
    <row r="14" spans="1:31" s="87" customFormat="1" ht="33" customHeight="1">
      <c r="B14" s="249" t="s">
        <v>148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</row>
  </sheetData>
  <sortState ref="C6:AE10">
    <sortCondition descending="1" ref="AB6:AB10"/>
  </sortState>
  <mergeCells count="33">
    <mergeCell ref="B14:AE14"/>
    <mergeCell ref="S3:U3"/>
    <mergeCell ref="S4:S5"/>
    <mergeCell ref="T4:U4"/>
    <mergeCell ref="P3:R3"/>
    <mergeCell ref="P4:P5"/>
    <mergeCell ref="F3:F5"/>
    <mergeCell ref="M3:O3"/>
    <mergeCell ref="M4:M5"/>
    <mergeCell ref="N4:O4"/>
    <mergeCell ref="Q4:R4"/>
    <mergeCell ref="AE3:AE5"/>
    <mergeCell ref="V3:X3"/>
    <mergeCell ref="V4:V5"/>
    <mergeCell ref="W4:X4"/>
    <mergeCell ref="Y3:AA3"/>
    <mergeCell ref="A3:A5"/>
    <mergeCell ref="B3:B5"/>
    <mergeCell ref="C3:E3"/>
    <mergeCell ref="G3:I3"/>
    <mergeCell ref="J3:L3"/>
    <mergeCell ref="C4:C5"/>
    <mergeCell ref="D4:D5"/>
    <mergeCell ref="E4:E5"/>
    <mergeCell ref="G4:G5"/>
    <mergeCell ref="H4:I4"/>
    <mergeCell ref="J4:J5"/>
    <mergeCell ref="K4:L4"/>
    <mergeCell ref="Y4:Y5"/>
    <mergeCell ref="Z4:AA4"/>
    <mergeCell ref="AB3:AD3"/>
    <mergeCell ref="AB4:AB5"/>
    <mergeCell ref="AC4:AD4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4"/>
  <sheetViews>
    <sheetView zoomScaleSheetLayoutView="100" workbookViewId="0">
      <selection activeCell="A13" sqref="A13:XFD14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customWidth="1"/>
    <col min="8" max="8" width="11" customWidth="1"/>
    <col min="9" max="9" width="13.7109375" customWidth="1"/>
    <col min="10" max="10" width="9.140625" hidden="1" customWidth="1" outlineLevel="1"/>
    <col min="11" max="11" width="10" hidden="1" customWidth="1" outlineLevel="1"/>
    <col min="12" max="12" width="11.85546875" hidden="1" customWidth="1" outlineLevel="1"/>
    <col min="13" max="13" width="9.140625" hidden="1" customWidth="1" outlineLevel="1"/>
    <col min="14" max="14" width="10.42578125" hidden="1" customWidth="1" outlineLevel="1"/>
    <col min="15" max="15" width="12.85546875" hidden="1" customWidth="1" outlineLevel="1"/>
    <col min="16" max="16" width="9.140625" hidden="1" customWidth="1" outlineLevel="1"/>
    <col min="17" max="17" width="10.42578125" hidden="1" customWidth="1" outlineLevel="1"/>
    <col min="18" max="27" width="12.85546875" hidden="1" customWidth="1" outlineLevel="1"/>
    <col min="28" max="28" width="12.85546875" customWidth="1" collapsed="1"/>
    <col min="29" max="30" width="12.85546875" customWidth="1"/>
  </cols>
  <sheetData>
    <row r="1" spans="1:31">
      <c r="C1" s="250" t="s">
        <v>13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</row>
    <row r="2" spans="1:31">
      <c r="O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 t="s">
        <v>9</v>
      </c>
    </row>
    <row r="3" spans="1:31" ht="29.25" customHeight="1">
      <c r="A3" s="247" t="s">
        <v>0</v>
      </c>
      <c r="B3" s="247" t="s">
        <v>15</v>
      </c>
      <c r="C3" s="247" t="s">
        <v>1</v>
      </c>
      <c r="D3" s="247"/>
      <c r="E3" s="247"/>
      <c r="F3" s="282" t="s">
        <v>80</v>
      </c>
      <c r="G3" s="244" t="s">
        <v>10</v>
      </c>
      <c r="H3" s="244"/>
      <c r="I3" s="244"/>
      <c r="J3" s="244" t="s">
        <v>11</v>
      </c>
      <c r="K3" s="244"/>
      <c r="L3" s="244"/>
      <c r="M3" s="244" t="s">
        <v>12</v>
      </c>
      <c r="N3" s="244"/>
      <c r="O3" s="244"/>
      <c r="P3" s="253" t="s">
        <v>41</v>
      </c>
      <c r="Q3" s="253"/>
      <c r="R3" s="253"/>
      <c r="S3" s="244" t="s">
        <v>110</v>
      </c>
      <c r="T3" s="244"/>
      <c r="U3" s="244"/>
      <c r="V3" s="244" t="s">
        <v>121</v>
      </c>
      <c r="W3" s="244"/>
      <c r="X3" s="244"/>
      <c r="Y3" s="244" t="s">
        <v>141</v>
      </c>
      <c r="Z3" s="244"/>
      <c r="AA3" s="244"/>
      <c r="AB3" s="244" t="s">
        <v>142</v>
      </c>
      <c r="AC3" s="244"/>
      <c r="AD3" s="244"/>
      <c r="AE3" s="279" t="s">
        <v>109</v>
      </c>
    </row>
    <row r="4" spans="1:31" ht="13.5" customHeight="1">
      <c r="A4" s="247"/>
      <c r="B4" s="247"/>
      <c r="C4" s="247" t="s">
        <v>2</v>
      </c>
      <c r="D4" s="247" t="s">
        <v>3</v>
      </c>
      <c r="E4" s="247" t="s">
        <v>4</v>
      </c>
      <c r="F4" s="283"/>
      <c r="G4" s="245" t="s">
        <v>5</v>
      </c>
      <c r="H4" s="277" t="s">
        <v>14</v>
      </c>
      <c r="I4" s="278"/>
      <c r="J4" s="245" t="s">
        <v>5</v>
      </c>
      <c r="K4" s="277" t="s">
        <v>14</v>
      </c>
      <c r="L4" s="278"/>
      <c r="M4" s="245" t="s">
        <v>5</v>
      </c>
      <c r="N4" s="277" t="s">
        <v>14</v>
      </c>
      <c r="O4" s="278"/>
      <c r="P4" s="245" t="s">
        <v>5</v>
      </c>
      <c r="Q4" s="277" t="s">
        <v>14</v>
      </c>
      <c r="R4" s="278"/>
      <c r="S4" s="245" t="s">
        <v>5</v>
      </c>
      <c r="T4" s="277" t="s">
        <v>14</v>
      </c>
      <c r="U4" s="278"/>
      <c r="V4" s="245" t="s">
        <v>5</v>
      </c>
      <c r="W4" s="277" t="s">
        <v>14</v>
      </c>
      <c r="X4" s="278"/>
      <c r="Y4" s="245" t="s">
        <v>5</v>
      </c>
      <c r="Z4" s="277" t="s">
        <v>14</v>
      </c>
      <c r="AA4" s="278"/>
      <c r="AB4" s="245" t="s">
        <v>5</v>
      </c>
      <c r="AC4" s="277" t="s">
        <v>14</v>
      </c>
      <c r="AD4" s="278"/>
      <c r="AE4" s="280"/>
    </row>
    <row r="5" spans="1:31" ht="38.25">
      <c r="A5" s="247"/>
      <c r="B5" s="247"/>
      <c r="C5" s="247"/>
      <c r="D5" s="247"/>
      <c r="E5" s="247"/>
      <c r="F5" s="284"/>
      <c r="G5" s="245"/>
      <c r="H5" s="4" t="s">
        <v>6</v>
      </c>
      <c r="I5" s="4" t="s">
        <v>7</v>
      </c>
      <c r="J5" s="245"/>
      <c r="K5" s="4" t="s">
        <v>6</v>
      </c>
      <c r="L5" s="4" t="s">
        <v>7</v>
      </c>
      <c r="M5" s="245"/>
      <c r="N5" s="4" t="s">
        <v>6</v>
      </c>
      <c r="O5" s="4" t="s">
        <v>7</v>
      </c>
      <c r="P5" s="245"/>
      <c r="Q5" s="4" t="s">
        <v>6</v>
      </c>
      <c r="R5" s="4" t="s">
        <v>7</v>
      </c>
      <c r="S5" s="245"/>
      <c r="T5" s="15" t="s">
        <v>6</v>
      </c>
      <c r="U5" s="15" t="s">
        <v>7</v>
      </c>
      <c r="V5" s="245"/>
      <c r="W5" s="15" t="s">
        <v>6</v>
      </c>
      <c r="X5" s="15" t="s">
        <v>7</v>
      </c>
      <c r="Y5" s="245"/>
      <c r="Z5" s="15" t="s">
        <v>6</v>
      </c>
      <c r="AA5" s="15" t="s">
        <v>7</v>
      </c>
      <c r="AB5" s="245"/>
      <c r="AC5" s="15" t="s">
        <v>6</v>
      </c>
      <c r="AD5" s="15" t="s">
        <v>7</v>
      </c>
      <c r="AE5" s="281"/>
    </row>
    <row r="6" spans="1:31">
      <c r="A6" s="2">
        <v>1</v>
      </c>
      <c r="B6" s="1" t="s">
        <v>63</v>
      </c>
      <c r="C6" s="76" t="s">
        <v>65</v>
      </c>
      <c r="D6" s="76">
        <v>8</v>
      </c>
      <c r="E6" s="76"/>
      <c r="F6" s="76">
        <f>[1]МКД!$H$228</f>
        <v>98</v>
      </c>
      <c r="G6" s="1">
        <f>H6+I6</f>
        <v>983.8</v>
      </c>
      <c r="H6" s="1">
        <v>350.9</v>
      </c>
      <c r="I6" s="1">
        <v>632.9</v>
      </c>
      <c r="J6" s="1">
        <f>K6+L6</f>
        <v>1010.3</v>
      </c>
      <c r="K6" s="1">
        <v>395.3</v>
      </c>
      <c r="L6" s="1">
        <v>615</v>
      </c>
      <c r="M6" s="1">
        <f>N6+O6</f>
        <v>980.1</v>
      </c>
      <c r="N6" s="1">
        <v>432.5</v>
      </c>
      <c r="O6" s="1">
        <v>547.6</v>
      </c>
      <c r="P6" s="1">
        <f>Q6+R6</f>
        <v>1082</v>
      </c>
      <c r="Q6" s="1">
        <v>490.6</v>
      </c>
      <c r="R6" s="1">
        <v>591.4</v>
      </c>
      <c r="S6" s="1">
        <f>T6+U6</f>
        <v>1240.5</v>
      </c>
      <c r="T6" s="1">
        <v>542.5</v>
      </c>
      <c r="U6" s="1">
        <v>698</v>
      </c>
      <c r="V6" s="1">
        <f>W6+X6</f>
        <v>1297.4000000000001</v>
      </c>
      <c r="W6" s="1">
        <v>496.4</v>
      </c>
      <c r="X6" s="1">
        <v>801</v>
      </c>
      <c r="Y6" s="1">
        <f>Z6+AA6</f>
        <v>1349.58</v>
      </c>
      <c r="Z6" s="1">
        <v>492.38</v>
      </c>
      <c r="AA6" s="1">
        <v>857.2</v>
      </c>
      <c r="AB6" s="1">
        <f>AC6+AD6</f>
        <v>1525.54</v>
      </c>
      <c r="AC6" s="1">
        <v>611.14</v>
      </c>
      <c r="AD6" s="1">
        <v>914.4</v>
      </c>
      <c r="AE6" s="89">
        <f>AB6/F6</f>
        <v>15.566734693877551</v>
      </c>
    </row>
    <row r="7" spans="1:31">
      <c r="A7" s="2">
        <f>1+A6</f>
        <v>2</v>
      </c>
      <c r="B7" s="1" t="s">
        <v>63</v>
      </c>
      <c r="C7" s="76" t="s">
        <v>64</v>
      </c>
      <c r="D7" s="76">
        <v>38</v>
      </c>
      <c r="E7" s="76"/>
      <c r="F7" s="76">
        <f>[1]МКД!$H$206</f>
        <v>143</v>
      </c>
      <c r="G7" s="1">
        <f>H7+I7</f>
        <v>1418.3400000000001</v>
      </c>
      <c r="H7" s="1">
        <v>546.44000000000005</v>
      </c>
      <c r="I7" s="1">
        <v>871.9</v>
      </c>
      <c r="J7" s="1">
        <f>K7+L7</f>
        <v>1349.74</v>
      </c>
      <c r="K7" s="1">
        <v>574.24</v>
      </c>
      <c r="L7" s="1">
        <v>775.5</v>
      </c>
      <c r="M7" s="1">
        <f>N7+O7</f>
        <v>1359.74</v>
      </c>
      <c r="N7" s="1">
        <v>630.24</v>
      </c>
      <c r="O7" s="1">
        <v>729.5</v>
      </c>
      <c r="P7" s="1">
        <f>Q7+R7</f>
        <v>1357.24</v>
      </c>
      <c r="Q7" s="1">
        <v>618.44000000000005</v>
      </c>
      <c r="R7" s="1">
        <v>738.8</v>
      </c>
      <c r="S7" s="1">
        <f>T7+U7</f>
        <v>1401</v>
      </c>
      <c r="T7" s="1">
        <v>536</v>
      </c>
      <c r="U7" s="1">
        <v>865</v>
      </c>
      <c r="V7" s="1">
        <f>W7+X7</f>
        <v>1516.6599999999999</v>
      </c>
      <c r="W7" s="1">
        <v>567.74</v>
      </c>
      <c r="X7" s="1">
        <v>948.92</v>
      </c>
      <c r="Y7" s="1">
        <f>Z7+AA7</f>
        <v>1704.6000000000001</v>
      </c>
      <c r="Z7" s="1">
        <v>599.70000000000005</v>
      </c>
      <c r="AA7" s="1">
        <v>1104.9000000000001</v>
      </c>
      <c r="AB7" s="76">
        <f>AC7+AD7</f>
        <v>2005.12</v>
      </c>
      <c r="AC7" s="76">
        <v>725.3</v>
      </c>
      <c r="AD7" s="76">
        <v>1279.82</v>
      </c>
      <c r="AE7" s="42">
        <f>AB7/F7</f>
        <v>14.021818181818182</v>
      </c>
    </row>
    <row r="8" spans="1:31">
      <c r="A8" s="51">
        <f t="shared" ref="A8:A10" si="0">1+A7</f>
        <v>3</v>
      </c>
      <c r="B8" s="1" t="s">
        <v>63</v>
      </c>
      <c r="C8" s="1" t="s">
        <v>65</v>
      </c>
      <c r="D8" s="1">
        <v>3</v>
      </c>
      <c r="E8" s="1"/>
      <c r="F8" s="21">
        <f>[1]МКД!$H$69</f>
        <v>49</v>
      </c>
      <c r="G8" s="1">
        <f>H8+I8</f>
        <v>450.70000000000005</v>
      </c>
      <c r="H8" s="1">
        <v>176.6</v>
      </c>
      <c r="I8" s="1">
        <v>274.10000000000002</v>
      </c>
      <c r="J8" s="1">
        <f>K8+L8</f>
        <v>340.8</v>
      </c>
      <c r="K8" s="1">
        <v>186.8</v>
      </c>
      <c r="L8" s="1">
        <v>154</v>
      </c>
      <c r="M8" s="1">
        <f>N8+O8</f>
        <v>312.5</v>
      </c>
      <c r="N8" s="1">
        <v>178.9</v>
      </c>
      <c r="O8" s="1">
        <v>133.6</v>
      </c>
      <c r="P8" s="1">
        <f>Q8+R8</f>
        <v>334.7</v>
      </c>
      <c r="Q8" s="1">
        <v>224</v>
      </c>
      <c r="R8" s="1">
        <v>110.7</v>
      </c>
      <c r="S8" s="1">
        <f>T8+U8</f>
        <v>359</v>
      </c>
      <c r="T8" s="1">
        <v>210.4</v>
      </c>
      <c r="U8" s="1">
        <v>148.6</v>
      </c>
      <c r="V8" s="1">
        <f>W8+X8</f>
        <v>384.20000000000005</v>
      </c>
      <c r="W8" s="1">
        <v>231.9</v>
      </c>
      <c r="X8" s="1">
        <v>152.30000000000001</v>
      </c>
      <c r="Y8" s="1">
        <f>Z8+AA8</f>
        <v>346.4</v>
      </c>
      <c r="Z8" s="1">
        <v>228</v>
      </c>
      <c r="AA8" s="1">
        <v>118.4</v>
      </c>
      <c r="AB8" s="1">
        <f>AC8+AD8</f>
        <v>305.8</v>
      </c>
      <c r="AC8" s="1">
        <v>245.2</v>
      </c>
      <c r="AD8" s="1">
        <v>60.6</v>
      </c>
      <c r="AE8" s="42">
        <f>AB8/F8</f>
        <v>6.2408163265306129</v>
      </c>
    </row>
    <row r="9" spans="1:31">
      <c r="A9" s="51">
        <f t="shared" si="0"/>
        <v>4</v>
      </c>
      <c r="B9" s="1" t="s">
        <v>63</v>
      </c>
      <c r="C9" s="1" t="s">
        <v>59</v>
      </c>
      <c r="D9" s="1">
        <v>3</v>
      </c>
      <c r="E9" s="1"/>
      <c r="F9" s="21">
        <f>[1]МКД!$H$192</f>
        <v>24</v>
      </c>
      <c r="G9" s="1">
        <f>H9+I9</f>
        <v>128.4</v>
      </c>
      <c r="H9" s="1">
        <v>66.5</v>
      </c>
      <c r="I9" s="1">
        <v>61.9</v>
      </c>
      <c r="J9" s="1">
        <f>K9+L9</f>
        <v>144</v>
      </c>
      <c r="K9" s="1">
        <v>79.900000000000006</v>
      </c>
      <c r="L9" s="1">
        <v>64.099999999999994</v>
      </c>
      <c r="M9" s="1">
        <f>N9+O9</f>
        <v>93.7</v>
      </c>
      <c r="N9" s="1">
        <v>67.7</v>
      </c>
      <c r="O9" s="1">
        <v>26</v>
      </c>
      <c r="P9" s="1">
        <f>Q9+R9</f>
        <v>111.4</v>
      </c>
      <c r="Q9" s="1">
        <v>85.4</v>
      </c>
      <c r="R9" s="1">
        <v>26</v>
      </c>
      <c r="S9" s="1">
        <f>T9+U9</f>
        <v>117.8</v>
      </c>
      <c r="T9" s="1">
        <v>91.8</v>
      </c>
      <c r="U9" s="1">
        <v>26</v>
      </c>
      <c r="V9" s="1">
        <f>W9+X9</f>
        <v>107</v>
      </c>
      <c r="W9" s="1">
        <v>87</v>
      </c>
      <c r="X9" s="1">
        <v>20</v>
      </c>
      <c r="Y9" s="1">
        <f>Z9+AA9</f>
        <v>103.4</v>
      </c>
      <c r="Z9" s="1">
        <v>86.3</v>
      </c>
      <c r="AA9" s="1">
        <v>17.100000000000001</v>
      </c>
      <c r="AB9" s="1">
        <f>AC9+AD9</f>
        <v>78.5</v>
      </c>
      <c r="AC9" s="1">
        <v>65.3</v>
      </c>
      <c r="AD9" s="1">
        <v>13.2</v>
      </c>
      <c r="AE9" s="42">
        <f>AB9/F9</f>
        <v>3.2708333333333335</v>
      </c>
    </row>
    <row r="10" spans="1:31">
      <c r="A10" s="51">
        <f t="shared" si="0"/>
        <v>5</v>
      </c>
      <c r="B10" s="1" t="s">
        <v>63</v>
      </c>
      <c r="C10" s="1" t="s">
        <v>59</v>
      </c>
      <c r="D10" s="1">
        <v>1</v>
      </c>
      <c r="E10" s="1"/>
      <c r="F10" s="21">
        <f>[1]МКД!$H$181</f>
        <v>24</v>
      </c>
      <c r="G10" s="1">
        <f>H10+I10</f>
        <v>84.2</v>
      </c>
      <c r="H10" s="1">
        <v>58.5</v>
      </c>
      <c r="I10" s="1">
        <v>25.7</v>
      </c>
      <c r="J10" s="1">
        <f>K10+L10</f>
        <v>81.3</v>
      </c>
      <c r="K10" s="1">
        <v>51</v>
      </c>
      <c r="L10" s="1">
        <v>30.3</v>
      </c>
      <c r="M10" s="1">
        <f>N10+O10</f>
        <v>70</v>
      </c>
      <c r="N10" s="1">
        <v>62.3</v>
      </c>
      <c r="O10" s="1">
        <v>7.7</v>
      </c>
      <c r="P10" s="1">
        <f>Q10+R10</f>
        <v>9.6999999999999993</v>
      </c>
      <c r="Q10" s="1">
        <v>5.8</v>
      </c>
      <c r="R10" s="1">
        <v>3.9</v>
      </c>
      <c r="S10" s="1">
        <f>T10+U10</f>
        <v>62.4</v>
      </c>
      <c r="T10" s="1">
        <v>60.4</v>
      </c>
      <c r="U10" s="1">
        <v>2</v>
      </c>
      <c r="V10" s="1">
        <f>W10+X10</f>
        <v>61.800000000000004</v>
      </c>
      <c r="W10" s="1">
        <v>60.2</v>
      </c>
      <c r="X10" s="1">
        <v>1.6</v>
      </c>
      <c r="Y10" s="1">
        <f>Z10+AA10</f>
        <v>56.6</v>
      </c>
      <c r="Z10" s="1">
        <v>55</v>
      </c>
      <c r="AA10" s="1">
        <v>1.6</v>
      </c>
      <c r="AB10" s="1">
        <f>AC10+AD10</f>
        <v>62.7</v>
      </c>
      <c r="AC10" s="1">
        <v>61.1</v>
      </c>
      <c r="AD10" s="1">
        <v>1.6</v>
      </c>
      <c r="AE10" s="42">
        <f>AB10/F10</f>
        <v>2.6125000000000003</v>
      </c>
    </row>
    <row r="11" spans="1:31" s="27" customFormat="1">
      <c r="A11" s="25"/>
      <c r="B11" s="26" t="s">
        <v>8</v>
      </c>
      <c r="C11" s="26"/>
      <c r="D11" s="26"/>
      <c r="E11" s="26"/>
      <c r="F11" s="26">
        <f>SUM(F6:F10)</f>
        <v>338</v>
      </c>
      <c r="G11" s="26">
        <f t="shared" ref="G11:R11" si="1">SUM(G6:G10)</f>
        <v>3065.44</v>
      </c>
      <c r="H11" s="26">
        <f>SUM(H6:H10)</f>
        <v>1198.94</v>
      </c>
      <c r="I11" s="26">
        <f t="shared" si="1"/>
        <v>1866.5000000000002</v>
      </c>
      <c r="J11" s="26">
        <f t="shared" si="1"/>
        <v>2926.1400000000003</v>
      </c>
      <c r="K11" s="26">
        <f t="shared" si="1"/>
        <v>1287.24</v>
      </c>
      <c r="L11" s="26">
        <f t="shared" si="1"/>
        <v>1638.8999999999999</v>
      </c>
      <c r="M11" s="26">
        <f t="shared" si="1"/>
        <v>2816.04</v>
      </c>
      <c r="N11" s="26">
        <f t="shared" si="1"/>
        <v>1371.64</v>
      </c>
      <c r="O11" s="26">
        <f t="shared" si="1"/>
        <v>1444.3999999999999</v>
      </c>
      <c r="P11" s="26">
        <f t="shared" si="1"/>
        <v>2895.0399999999995</v>
      </c>
      <c r="Q11" s="26">
        <f>SUM(Q6:Q10)</f>
        <v>1424.24</v>
      </c>
      <c r="R11" s="26">
        <f t="shared" si="1"/>
        <v>1470.8</v>
      </c>
      <c r="S11" s="26">
        <f t="shared" ref="S11:T11" si="2">SUM(S6:S10)</f>
        <v>3180.7000000000003</v>
      </c>
      <c r="T11" s="26">
        <f t="shared" si="2"/>
        <v>1441.1000000000001</v>
      </c>
      <c r="U11" s="26">
        <f>SUM(U6:U10)</f>
        <v>1739.6</v>
      </c>
      <c r="V11" s="26">
        <f t="shared" ref="V11:AD11" si="3">SUM(V6:V10)</f>
        <v>3367.0600000000004</v>
      </c>
      <c r="W11" s="26">
        <f t="shared" si="3"/>
        <v>1443.24</v>
      </c>
      <c r="X11" s="26">
        <f t="shared" si="3"/>
        <v>1923.82</v>
      </c>
      <c r="Y11" s="26">
        <f t="shared" si="3"/>
        <v>3560.5800000000004</v>
      </c>
      <c r="Z11" s="26">
        <f t="shared" si="3"/>
        <v>1461.3799999999999</v>
      </c>
      <c r="AA11" s="26">
        <f t="shared" si="3"/>
        <v>2099.1999999999998</v>
      </c>
      <c r="AB11" s="26">
        <f t="shared" si="3"/>
        <v>3977.66</v>
      </c>
      <c r="AC11" s="26">
        <f t="shared" si="3"/>
        <v>1708.04</v>
      </c>
      <c r="AD11" s="26">
        <f t="shared" si="3"/>
        <v>2269.6199999999994</v>
      </c>
      <c r="AE11" s="26"/>
    </row>
    <row r="13" spans="1:31" s="87" customFormat="1" ht="12.75">
      <c r="B13" s="88" t="s">
        <v>144</v>
      </c>
    </row>
    <row r="14" spans="1:31" s="87" customFormat="1" ht="44.25" customHeight="1">
      <c r="B14" s="249" t="s">
        <v>149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</row>
  </sheetData>
  <sortState ref="C6:AE10">
    <sortCondition descending="1" ref="AE6:AE10"/>
  </sortState>
  <mergeCells count="34">
    <mergeCell ref="B14:AE14"/>
    <mergeCell ref="C1:AD1"/>
    <mergeCell ref="A3:A5"/>
    <mergeCell ref="B3:B5"/>
    <mergeCell ref="C3:E3"/>
    <mergeCell ref="G3:I3"/>
    <mergeCell ref="J3:L3"/>
    <mergeCell ref="C4:C5"/>
    <mergeCell ref="D4:D5"/>
    <mergeCell ref="E4:E5"/>
    <mergeCell ref="G4:G5"/>
    <mergeCell ref="H4:I4"/>
    <mergeCell ref="J4:J5"/>
    <mergeCell ref="K4:L4"/>
    <mergeCell ref="F3:F5"/>
    <mergeCell ref="M3:O3"/>
    <mergeCell ref="P4:P5"/>
    <mergeCell ref="Q4:R4"/>
    <mergeCell ref="P3:R3"/>
    <mergeCell ref="M4:M5"/>
    <mergeCell ref="N4:O4"/>
    <mergeCell ref="AC4:AD4"/>
    <mergeCell ref="S3:U3"/>
    <mergeCell ref="S4:S5"/>
    <mergeCell ref="T4:U4"/>
    <mergeCell ref="AE3:AE5"/>
    <mergeCell ref="V3:X3"/>
    <mergeCell ref="V4:V5"/>
    <mergeCell ref="W4:X4"/>
    <mergeCell ref="Y3:AA3"/>
    <mergeCell ref="Y4:Y5"/>
    <mergeCell ref="Z4:AA4"/>
    <mergeCell ref="AB3:AD3"/>
    <mergeCell ref="AB4:AB5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2"/>
  <sheetViews>
    <sheetView topLeftCell="A16" workbookViewId="0">
      <selection activeCell="AC56" sqref="AC56"/>
    </sheetView>
  </sheetViews>
  <sheetFormatPr defaultColWidth="16.5703125" defaultRowHeight="12.75" outlineLevelCol="1"/>
  <cols>
    <col min="1" max="1" width="6" style="13" customWidth="1"/>
    <col min="2" max="2" width="27.140625" style="13" customWidth="1"/>
    <col min="3" max="3" width="16.5703125" style="13" customWidth="1"/>
    <col min="4" max="4" width="12.5703125" style="13" customWidth="1"/>
    <col min="5" max="5" width="7.85546875" style="13" customWidth="1"/>
    <col min="6" max="6" width="11" style="13" customWidth="1"/>
    <col min="7" max="7" width="11.42578125" style="13" customWidth="1"/>
    <col min="8" max="8" width="14" style="13" customWidth="1"/>
    <col min="9" max="9" width="14.85546875" style="13" customWidth="1"/>
    <col min="10" max="21" width="16.5703125" style="13" hidden="1" customWidth="1" outlineLevel="1"/>
    <col min="22" max="22" width="12.28515625" style="13" hidden="1" customWidth="1" outlineLevel="1"/>
    <col min="23" max="24" width="13.42578125" style="13" hidden="1" customWidth="1" outlineLevel="1"/>
    <col min="25" max="27" width="0" style="13" hidden="1" customWidth="1" outlineLevel="1"/>
    <col min="28" max="28" width="16.5703125" style="13" collapsed="1"/>
    <col min="29" max="268" width="16.5703125" style="13"/>
    <col min="269" max="269" width="14.140625" style="13" customWidth="1"/>
    <col min="270" max="271" width="16.5703125" style="13" customWidth="1"/>
    <col min="272" max="272" width="12.5703125" style="13" customWidth="1"/>
    <col min="273" max="273" width="6.85546875" style="13" customWidth="1"/>
    <col min="274" max="524" width="16.5703125" style="13"/>
    <col min="525" max="525" width="14.140625" style="13" customWidth="1"/>
    <col min="526" max="527" width="16.5703125" style="13" customWidth="1"/>
    <col min="528" max="528" width="12.5703125" style="13" customWidth="1"/>
    <col min="529" max="529" width="6.85546875" style="13" customWidth="1"/>
    <col min="530" max="780" width="16.5703125" style="13"/>
    <col min="781" max="781" width="14.140625" style="13" customWidth="1"/>
    <col min="782" max="783" width="16.5703125" style="13" customWidth="1"/>
    <col min="784" max="784" width="12.5703125" style="13" customWidth="1"/>
    <col min="785" max="785" width="6.85546875" style="13" customWidth="1"/>
    <col min="786" max="1036" width="16.5703125" style="13"/>
    <col min="1037" max="1037" width="14.140625" style="13" customWidth="1"/>
    <col min="1038" max="1039" width="16.5703125" style="13" customWidth="1"/>
    <col min="1040" max="1040" width="12.5703125" style="13" customWidth="1"/>
    <col min="1041" max="1041" width="6.85546875" style="13" customWidth="1"/>
    <col min="1042" max="1292" width="16.5703125" style="13"/>
    <col min="1293" max="1293" width="14.140625" style="13" customWidth="1"/>
    <col min="1294" max="1295" width="16.5703125" style="13" customWidth="1"/>
    <col min="1296" max="1296" width="12.5703125" style="13" customWidth="1"/>
    <col min="1297" max="1297" width="6.85546875" style="13" customWidth="1"/>
    <col min="1298" max="1548" width="16.5703125" style="13"/>
    <col min="1549" max="1549" width="14.140625" style="13" customWidth="1"/>
    <col min="1550" max="1551" width="16.5703125" style="13" customWidth="1"/>
    <col min="1552" max="1552" width="12.5703125" style="13" customWidth="1"/>
    <col min="1553" max="1553" width="6.85546875" style="13" customWidth="1"/>
    <col min="1554" max="1804" width="16.5703125" style="13"/>
    <col min="1805" max="1805" width="14.140625" style="13" customWidth="1"/>
    <col min="1806" max="1807" width="16.5703125" style="13" customWidth="1"/>
    <col min="1808" max="1808" width="12.5703125" style="13" customWidth="1"/>
    <col min="1809" max="1809" width="6.85546875" style="13" customWidth="1"/>
    <col min="1810" max="2060" width="16.5703125" style="13"/>
    <col min="2061" max="2061" width="14.140625" style="13" customWidth="1"/>
    <col min="2062" max="2063" width="16.5703125" style="13" customWidth="1"/>
    <col min="2064" max="2064" width="12.5703125" style="13" customWidth="1"/>
    <col min="2065" max="2065" width="6.85546875" style="13" customWidth="1"/>
    <col min="2066" max="2316" width="16.5703125" style="13"/>
    <col min="2317" max="2317" width="14.140625" style="13" customWidth="1"/>
    <col min="2318" max="2319" width="16.5703125" style="13" customWidth="1"/>
    <col min="2320" max="2320" width="12.5703125" style="13" customWidth="1"/>
    <col min="2321" max="2321" width="6.85546875" style="13" customWidth="1"/>
    <col min="2322" max="2572" width="16.5703125" style="13"/>
    <col min="2573" max="2573" width="14.140625" style="13" customWidth="1"/>
    <col min="2574" max="2575" width="16.5703125" style="13" customWidth="1"/>
    <col min="2576" max="2576" width="12.5703125" style="13" customWidth="1"/>
    <col min="2577" max="2577" width="6.85546875" style="13" customWidth="1"/>
    <col min="2578" max="2828" width="16.5703125" style="13"/>
    <col min="2829" max="2829" width="14.140625" style="13" customWidth="1"/>
    <col min="2830" max="2831" width="16.5703125" style="13" customWidth="1"/>
    <col min="2832" max="2832" width="12.5703125" style="13" customWidth="1"/>
    <col min="2833" max="2833" width="6.85546875" style="13" customWidth="1"/>
    <col min="2834" max="3084" width="16.5703125" style="13"/>
    <col min="3085" max="3085" width="14.140625" style="13" customWidth="1"/>
    <col min="3086" max="3087" width="16.5703125" style="13" customWidth="1"/>
    <col min="3088" max="3088" width="12.5703125" style="13" customWidth="1"/>
    <col min="3089" max="3089" width="6.85546875" style="13" customWidth="1"/>
    <col min="3090" max="3340" width="16.5703125" style="13"/>
    <col min="3341" max="3341" width="14.140625" style="13" customWidth="1"/>
    <col min="3342" max="3343" width="16.5703125" style="13" customWidth="1"/>
    <col min="3344" max="3344" width="12.5703125" style="13" customWidth="1"/>
    <col min="3345" max="3345" width="6.85546875" style="13" customWidth="1"/>
    <col min="3346" max="3596" width="16.5703125" style="13"/>
    <col min="3597" max="3597" width="14.140625" style="13" customWidth="1"/>
    <col min="3598" max="3599" width="16.5703125" style="13" customWidth="1"/>
    <col min="3600" max="3600" width="12.5703125" style="13" customWidth="1"/>
    <col min="3601" max="3601" width="6.85546875" style="13" customWidth="1"/>
    <col min="3602" max="3852" width="16.5703125" style="13"/>
    <col min="3853" max="3853" width="14.140625" style="13" customWidth="1"/>
    <col min="3854" max="3855" width="16.5703125" style="13" customWidth="1"/>
    <col min="3856" max="3856" width="12.5703125" style="13" customWidth="1"/>
    <col min="3857" max="3857" width="6.85546875" style="13" customWidth="1"/>
    <col min="3858" max="4108" width="16.5703125" style="13"/>
    <col min="4109" max="4109" width="14.140625" style="13" customWidth="1"/>
    <col min="4110" max="4111" width="16.5703125" style="13" customWidth="1"/>
    <col min="4112" max="4112" width="12.5703125" style="13" customWidth="1"/>
    <col min="4113" max="4113" width="6.85546875" style="13" customWidth="1"/>
    <col min="4114" max="4364" width="16.5703125" style="13"/>
    <col min="4365" max="4365" width="14.140625" style="13" customWidth="1"/>
    <col min="4366" max="4367" width="16.5703125" style="13" customWidth="1"/>
    <col min="4368" max="4368" width="12.5703125" style="13" customWidth="1"/>
    <col min="4369" max="4369" width="6.85546875" style="13" customWidth="1"/>
    <col min="4370" max="4620" width="16.5703125" style="13"/>
    <col min="4621" max="4621" width="14.140625" style="13" customWidth="1"/>
    <col min="4622" max="4623" width="16.5703125" style="13" customWidth="1"/>
    <col min="4624" max="4624" width="12.5703125" style="13" customWidth="1"/>
    <col min="4625" max="4625" width="6.85546875" style="13" customWidth="1"/>
    <col min="4626" max="4876" width="16.5703125" style="13"/>
    <col min="4877" max="4877" width="14.140625" style="13" customWidth="1"/>
    <col min="4878" max="4879" width="16.5703125" style="13" customWidth="1"/>
    <col min="4880" max="4880" width="12.5703125" style="13" customWidth="1"/>
    <col min="4881" max="4881" width="6.85546875" style="13" customWidth="1"/>
    <col min="4882" max="5132" width="16.5703125" style="13"/>
    <col min="5133" max="5133" width="14.140625" style="13" customWidth="1"/>
    <col min="5134" max="5135" width="16.5703125" style="13" customWidth="1"/>
    <col min="5136" max="5136" width="12.5703125" style="13" customWidth="1"/>
    <col min="5137" max="5137" width="6.85546875" style="13" customWidth="1"/>
    <col min="5138" max="5388" width="16.5703125" style="13"/>
    <col min="5389" max="5389" width="14.140625" style="13" customWidth="1"/>
    <col min="5390" max="5391" width="16.5703125" style="13" customWidth="1"/>
    <col min="5392" max="5392" width="12.5703125" style="13" customWidth="1"/>
    <col min="5393" max="5393" width="6.85546875" style="13" customWidth="1"/>
    <col min="5394" max="5644" width="16.5703125" style="13"/>
    <col min="5645" max="5645" width="14.140625" style="13" customWidth="1"/>
    <col min="5646" max="5647" width="16.5703125" style="13" customWidth="1"/>
    <col min="5648" max="5648" width="12.5703125" style="13" customWidth="1"/>
    <col min="5649" max="5649" width="6.85546875" style="13" customWidth="1"/>
    <col min="5650" max="5900" width="16.5703125" style="13"/>
    <col min="5901" max="5901" width="14.140625" style="13" customWidth="1"/>
    <col min="5902" max="5903" width="16.5703125" style="13" customWidth="1"/>
    <col min="5904" max="5904" width="12.5703125" style="13" customWidth="1"/>
    <col min="5905" max="5905" width="6.85546875" style="13" customWidth="1"/>
    <col min="5906" max="6156" width="16.5703125" style="13"/>
    <col min="6157" max="6157" width="14.140625" style="13" customWidth="1"/>
    <col min="6158" max="6159" width="16.5703125" style="13" customWidth="1"/>
    <col min="6160" max="6160" width="12.5703125" style="13" customWidth="1"/>
    <col min="6161" max="6161" width="6.85546875" style="13" customWidth="1"/>
    <col min="6162" max="6412" width="16.5703125" style="13"/>
    <col min="6413" max="6413" width="14.140625" style="13" customWidth="1"/>
    <col min="6414" max="6415" width="16.5703125" style="13" customWidth="1"/>
    <col min="6416" max="6416" width="12.5703125" style="13" customWidth="1"/>
    <col min="6417" max="6417" width="6.85546875" style="13" customWidth="1"/>
    <col min="6418" max="6668" width="16.5703125" style="13"/>
    <col min="6669" max="6669" width="14.140625" style="13" customWidth="1"/>
    <col min="6670" max="6671" width="16.5703125" style="13" customWidth="1"/>
    <col min="6672" max="6672" width="12.5703125" style="13" customWidth="1"/>
    <col min="6673" max="6673" width="6.85546875" style="13" customWidth="1"/>
    <col min="6674" max="6924" width="16.5703125" style="13"/>
    <col min="6925" max="6925" width="14.140625" style="13" customWidth="1"/>
    <col min="6926" max="6927" width="16.5703125" style="13" customWidth="1"/>
    <col min="6928" max="6928" width="12.5703125" style="13" customWidth="1"/>
    <col min="6929" max="6929" width="6.85546875" style="13" customWidth="1"/>
    <col min="6930" max="7180" width="16.5703125" style="13"/>
    <col min="7181" max="7181" width="14.140625" style="13" customWidth="1"/>
    <col min="7182" max="7183" width="16.5703125" style="13" customWidth="1"/>
    <col min="7184" max="7184" width="12.5703125" style="13" customWidth="1"/>
    <col min="7185" max="7185" width="6.85546875" style="13" customWidth="1"/>
    <col min="7186" max="7436" width="16.5703125" style="13"/>
    <col min="7437" max="7437" width="14.140625" style="13" customWidth="1"/>
    <col min="7438" max="7439" width="16.5703125" style="13" customWidth="1"/>
    <col min="7440" max="7440" width="12.5703125" style="13" customWidth="1"/>
    <col min="7441" max="7441" width="6.85546875" style="13" customWidth="1"/>
    <col min="7442" max="7692" width="16.5703125" style="13"/>
    <col min="7693" max="7693" width="14.140625" style="13" customWidth="1"/>
    <col min="7694" max="7695" width="16.5703125" style="13" customWidth="1"/>
    <col min="7696" max="7696" width="12.5703125" style="13" customWidth="1"/>
    <col min="7697" max="7697" width="6.85546875" style="13" customWidth="1"/>
    <col min="7698" max="7948" width="16.5703125" style="13"/>
    <col min="7949" max="7949" width="14.140625" style="13" customWidth="1"/>
    <col min="7950" max="7951" width="16.5703125" style="13" customWidth="1"/>
    <col min="7952" max="7952" width="12.5703125" style="13" customWidth="1"/>
    <col min="7953" max="7953" width="6.85546875" style="13" customWidth="1"/>
    <col min="7954" max="8204" width="16.5703125" style="13"/>
    <col min="8205" max="8205" width="14.140625" style="13" customWidth="1"/>
    <col min="8206" max="8207" width="16.5703125" style="13" customWidth="1"/>
    <col min="8208" max="8208" width="12.5703125" style="13" customWidth="1"/>
    <col min="8209" max="8209" width="6.85546875" style="13" customWidth="1"/>
    <col min="8210" max="8460" width="16.5703125" style="13"/>
    <col min="8461" max="8461" width="14.140625" style="13" customWidth="1"/>
    <col min="8462" max="8463" width="16.5703125" style="13" customWidth="1"/>
    <col min="8464" max="8464" width="12.5703125" style="13" customWidth="1"/>
    <col min="8465" max="8465" width="6.85546875" style="13" customWidth="1"/>
    <col min="8466" max="8716" width="16.5703125" style="13"/>
    <col min="8717" max="8717" width="14.140625" style="13" customWidth="1"/>
    <col min="8718" max="8719" width="16.5703125" style="13" customWidth="1"/>
    <col min="8720" max="8720" width="12.5703125" style="13" customWidth="1"/>
    <col min="8721" max="8721" width="6.85546875" style="13" customWidth="1"/>
    <col min="8722" max="8972" width="16.5703125" style="13"/>
    <col min="8973" max="8973" width="14.140625" style="13" customWidth="1"/>
    <col min="8974" max="8975" width="16.5703125" style="13" customWidth="1"/>
    <col min="8976" max="8976" width="12.5703125" style="13" customWidth="1"/>
    <col min="8977" max="8977" width="6.85546875" style="13" customWidth="1"/>
    <col min="8978" max="9228" width="16.5703125" style="13"/>
    <col min="9229" max="9229" width="14.140625" style="13" customWidth="1"/>
    <col min="9230" max="9231" width="16.5703125" style="13" customWidth="1"/>
    <col min="9232" max="9232" width="12.5703125" style="13" customWidth="1"/>
    <col min="9233" max="9233" width="6.85546875" style="13" customWidth="1"/>
    <col min="9234" max="9484" width="16.5703125" style="13"/>
    <col min="9485" max="9485" width="14.140625" style="13" customWidth="1"/>
    <col min="9486" max="9487" width="16.5703125" style="13" customWidth="1"/>
    <col min="9488" max="9488" width="12.5703125" style="13" customWidth="1"/>
    <col min="9489" max="9489" width="6.85546875" style="13" customWidth="1"/>
    <col min="9490" max="9740" width="16.5703125" style="13"/>
    <col min="9741" max="9741" width="14.140625" style="13" customWidth="1"/>
    <col min="9742" max="9743" width="16.5703125" style="13" customWidth="1"/>
    <col min="9744" max="9744" width="12.5703125" style="13" customWidth="1"/>
    <col min="9745" max="9745" width="6.85546875" style="13" customWidth="1"/>
    <col min="9746" max="9996" width="16.5703125" style="13"/>
    <col min="9997" max="9997" width="14.140625" style="13" customWidth="1"/>
    <col min="9998" max="9999" width="16.5703125" style="13" customWidth="1"/>
    <col min="10000" max="10000" width="12.5703125" style="13" customWidth="1"/>
    <col min="10001" max="10001" width="6.85546875" style="13" customWidth="1"/>
    <col min="10002" max="10252" width="16.5703125" style="13"/>
    <col min="10253" max="10253" width="14.140625" style="13" customWidth="1"/>
    <col min="10254" max="10255" width="16.5703125" style="13" customWidth="1"/>
    <col min="10256" max="10256" width="12.5703125" style="13" customWidth="1"/>
    <col min="10257" max="10257" width="6.85546875" style="13" customWidth="1"/>
    <col min="10258" max="10508" width="16.5703125" style="13"/>
    <col min="10509" max="10509" width="14.140625" style="13" customWidth="1"/>
    <col min="10510" max="10511" width="16.5703125" style="13" customWidth="1"/>
    <col min="10512" max="10512" width="12.5703125" style="13" customWidth="1"/>
    <col min="10513" max="10513" width="6.85546875" style="13" customWidth="1"/>
    <col min="10514" max="10764" width="16.5703125" style="13"/>
    <col min="10765" max="10765" width="14.140625" style="13" customWidth="1"/>
    <col min="10766" max="10767" width="16.5703125" style="13" customWidth="1"/>
    <col min="10768" max="10768" width="12.5703125" style="13" customWidth="1"/>
    <col min="10769" max="10769" width="6.85546875" style="13" customWidth="1"/>
    <col min="10770" max="11020" width="16.5703125" style="13"/>
    <col min="11021" max="11021" width="14.140625" style="13" customWidth="1"/>
    <col min="11022" max="11023" width="16.5703125" style="13" customWidth="1"/>
    <col min="11024" max="11024" width="12.5703125" style="13" customWidth="1"/>
    <col min="11025" max="11025" width="6.85546875" style="13" customWidth="1"/>
    <col min="11026" max="11276" width="16.5703125" style="13"/>
    <col min="11277" max="11277" width="14.140625" style="13" customWidth="1"/>
    <col min="11278" max="11279" width="16.5703125" style="13" customWidth="1"/>
    <col min="11280" max="11280" width="12.5703125" style="13" customWidth="1"/>
    <col min="11281" max="11281" width="6.85546875" style="13" customWidth="1"/>
    <col min="11282" max="11532" width="16.5703125" style="13"/>
    <col min="11533" max="11533" width="14.140625" style="13" customWidth="1"/>
    <col min="11534" max="11535" width="16.5703125" style="13" customWidth="1"/>
    <col min="11536" max="11536" width="12.5703125" style="13" customWidth="1"/>
    <col min="11537" max="11537" width="6.85546875" style="13" customWidth="1"/>
    <col min="11538" max="11788" width="16.5703125" style="13"/>
    <col min="11789" max="11789" width="14.140625" style="13" customWidth="1"/>
    <col min="11790" max="11791" width="16.5703125" style="13" customWidth="1"/>
    <col min="11792" max="11792" width="12.5703125" style="13" customWidth="1"/>
    <col min="11793" max="11793" width="6.85546875" style="13" customWidth="1"/>
    <col min="11794" max="12044" width="16.5703125" style="13"/>
    <col min="12045" max="12045" width="14.140625" style="13" customWidth="1"/>
    <col min="12046" max="12047" width="16.5703125" style="13" customWidth="1"/>
    <col min="12048" max="12048" width="12.5703125" style="13" customWidth="1"/>
    <col min="12049" max="12049" width="6.85546875" style="13" customWidth="1"/>
    <col min="12050" max="12300" width="16.5703125" style="13"/>
    <col min="12301" max="12301" width="14.140625" style="13" customWidth="1"/>
    <col min="12302" max="12303" width="16.5703125" style="13" customWidth="1"/>
    <col min="12304" max="12304" width="12.5703125" style="13" customWidth="1"/>
    <col min="12305" max="12305" width="6.85546875" style="13" customWidth="1"/>
    <col min="12306" max="12556" width="16.5703125" style="13"/>
    <col min="12557" max="12557" width="14.140625" style="13" customWidth="1"/>
    <col min="12558" max="12559" width="16.5703125" style="13" customWidth="1"/>
    <col min="12560" max="12560" width="12.5703125" style="13" customWidth="1"/>
    <col min="12561" max="12561" width="6.85546875" style="13" customWidth="1"/>
    <col min="12562" max="12812" width="16.5703125" style="13"/>
    <col min="12813" max="12813" width="14.140625" style="13" customWidth="1"/>
    <col min="12814" max="12815" width="16.5703125" style="13" customWidth="1"/>
    <col min="12816" max="12816" width="12.5703125" style="13" customWidth="1"/>
    <col min="12817" max="12817" width="6.85546875" style="13" customWidth="1"/>
    <col min="12818" max="13068" width="16.5703125" style="13"/>
    <col min="13069" max="13069" width="14.140625" style="13" customWidth="1"/>
    <col min="13070" max="13071" width="16.5703125" style="13" customWidth="1"/>
    <col min="13072" max="13072" width="12.5703125" style="13" customWidth="1"/>
    <col min="13073" max="13073" width="6.85546875" style="13" customWidth="1"/>
    <col min="13074" max="13324" width="16.5703125" style="13"/>
    <col min="13325" max="13325" width="14.140625" style="13" customWidth="1"/>
    <col min="13326" max="13327" width="16.5703125" style="13" customWidth="1"/>
    <col min="13328" max="13328" width="12.5703125" style="13" customWidth="1"/>
    <col min="13329" max="13329" width="6.85546875" style="13" customWidth="1"/>
    <col min="13330" max="13580" width="16.5703125" style="13"/>
    <col min="13581" max="13581" width="14.140625" style="13" customWidth="1"/>
    <col min="13582" max="13583" width="16.5703125" style="13" customWidth="1"/>
    <col min="13584" max="13584" width="12.5703125" style="13" customWidth="1"/>
    <col min="13585" max="13585" width="6.85546875" style="13" customWidth="1"/>
    <col min="13586" max="13836" width="16.5703125" style="13"/>
    <col min="13837" max="13837" width="14.140625" style="13" customWidth="1"/>
    <col min="13838" max="13839" width="16.5703125" style="13" customWidth="1"/>
    <col min="13840" max="13840" width="12.5703125" style="13" customWidth="1"/>
    <col min="13841" max="13841" width="6.85546875" style="13" customWidth="1"/>
    <col min="13842" max="14092" width="16.5703125" style="13"/>
    <col min="14093" max="14093" width="14.140625" style="13" customWidth="1"/>
    <col min="14094" max="14095" width="16.5703125" style="13" customWidth="1"/>
    <col min="14096" max="14096" width="12.5703125" style="13" customWidth="1"/>
    <col min="14097" max="14097" width="6.85546875" style="13" customWidth="1"/>
    <col min="14098" max="14348" width="16.5703125" style="13"/>
    <col min="14349" max="14349" width="14.140625" style="13" customWidth="1"/>
    <col min="14350" max="14351" width="16.5703125" style="13" customWidth="1"/>
    <col min="14352" max="14352" width="12.5703125" style="13" customWidth="1"/>
    <col min="14353" max="14353" width="6.85546875" style="13" customWidth="1"/>
    <col min="14354" max="14604" width="16.5703125" style="13"/>
    <col min="14605" max="14605" width="14.140625" style="13" customWidth="1"/>
    <col min="14606" max="14607" width="16.5703125" style="13" customWidth="1"/>
    <col min="14608" max="14608" width="12.5703125" style="13" customWidth="1"/>
    <col min="14609" max="14609" width="6.85546875" style="13" customWidth="1"/>
    <col min="14610" max="14860" width="16.5703125" style="13"/>
    <col min="14861" max="14861" width="14.140625" style="13" customWidth="1"/>
    <col min="14862" max="14863" width="16.5703125" style="13" customWidth="1"/>
    <col min="14864" max="14864" width="12.5703125" style="13" customWidth="1"/>
    <col min="14865" max="14865" width="6.85546875" style="13" customWidth="1"/>
    <col min="14866" max="15116" width="16.5703125" style="13"/>
    <col min="15117" max="15117" width="14.140625" style="13" customWidth="1"/>
    <col min="15118" max="15119" width="16.5703125" style="13" customWidth="1"/>
    <col min="15120" max="15120" width="12.5703125" style="13" customWidth="1"/>
    <col min="15121" max="15121" width="6.85546875" style="13" customWidth="1"/>
    <col min="15122" max="15372" width="16.5703125" style="13"/>
    <col min="15373" max="15373" width="14.140625" style="13" customWidth="1"/>
    <col min="15374" max="15375" width="16.5703125" style="13" customWidth="1"/>
    <col min="15376" max="15376" width="12.5703125" style="13" customWidth="1"/>
    <col min="15377" max="15377" width="6.85546875" style="13" customWidth="1"/>
    <col min="15378" max="15628" width="16.5703125" style="13"/>
    <col min="15629" max="15629" width="14.140625" style="13" customWidth="1"/>
    <col min="15630" max="15631" width="16.5703125" style="13" customWidth="1"/>
    <col min="15632" max="15632" width="12.5703125" style="13" customWidth="1"/>
    <col min="15633" max="15633" width="6.85546875" style="13" customWidth="1"/>
    <col min="15634" max="15884" width="16.5703125" style="13"/>
    <col min="15885" max="15885" width="14.140625" style="13" customWidth="1"/>
    <col min="15886" max="15887" width="16.5703125" style="13" customWidth="1"/>
    <col min="15888" max="15888" width="12.5703125" style="13" customWidth="1"/>
    <col min="15889" max="15889" width="6.85546875" style="13" customWidth="1"/>
    <col min="15890" max="16140" width="16.5703125" style="13"/>
    <col min="16141" max="16141" width="14.140625" style="13" customWidth="1"/>
    <col min="16142" max="16143" width="16.5703125" style="13" customWidth="1"/>
    <col min="16144" max="16144" width="12.5703125" style="13" customWidth="1"/>
    <col min="16145" max="16145" width="6.85546875" style="13" customWidth="1"/>
    <col min="16146" max="16384" width="16.5703125" style="13"/>
  </cols>
  <sheetData>
    <row r="1" spans="1:40">
      <c r="B1" s="16">
        <v>402.74</v>
      </c>
      <c r="AJ1" s="17"/>
    </row>
    <row r="2" spans="1:40" ht="15" customHeight="1">
      <c r="B2" s="16">
        <v>402.74</v>
      </c>
      <c r="C2" s="302" t="s">
        <v>66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</row>
    <row r="3" spans="1:40" ht="15">
      <c r="B3" s="16"/>
      <c r="C3" s="91" t="s">
        <v>108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40">
      <c r="B4" s="16">
        <v>402.74</v>
      </c>
      <c r="D4" s="304"/>
      <c r="E4" s="304"/>
      <c r="F4" s="304"/>
      <c r="G4" s="304"/>
      <c r="H4" s="304"/>
      <c r="I4" s="304"/>
      <c r="J4" s="289"/>
      <c r="K4" s="289"/>
      <c r="L4" s="289"/>
      <c r="M4" s="289"/>
      <c r="N4" s="289"/>
      <c r="O4" s="18"/>
      <c r="P4" s="18"/>
      <c r="AE4" s="52" t="s">
        <v>9</v>
      </c>
      <c r="AM4" s="289"/>
      <c r="AN4" s="289"/>
    </row>
    <row r="5" spans="1:40" s="131" customFormat="1" ht="12.75" customHeight="1">
      <c r="A5" s="290" t="s">
        <v>0</v>
      </c>
      <c r="B5" s="290" t="s">
        <v>67</v>
      </c>
      <c r="C5" s="291" t="s">
        <v>1</v>
      </c>
      <c r="D5" s="292"/>
      <c r="E5" s="293"/>
      <c r="F5" s="300" t="s">
        <v>80</v>
      </c>
      <c r="G5" s="291" t="s">
        <v>10</v>
      </c>
      <c r="H5" s="292"/>
      <c r="I5" s="292"/>
      <c r="J5" s="291" t="s">
        <v>11</v>
      </c>
      <c r="K5" s="292"/>
      <c r="L5" s="292"/>
      <c r="M5" s="290" t="s">
        <v>12</v>
      </c>
      <c r="N5" s="290"/>
      <c r="O5" s="290"/>
      <c r="P5" s="299" t="s">
        <v>41</v>
      </c>
      <c r="Q5" s="299"/>
      <c r="R5" s="299"/>
      <c r="S5" s="285" t="s">
        <v>110</v>
      </c>
      <c r="T5" s="285"/>
      <c r="U5" s="285"/>
      <c r="V5" s="285" t="s">
        <v>121</v>
      </c>
      <c r="W5" s="285"/>
      <c r="X5" s="285"/>
      <c r="Y5" s="285" t="s">
        <v>141</v>
      </c>
      <c r="Z5" s="285"/>
      <c r="AA5" s="285"/>
      <c r="AB5" s="285" t="s">
        <v>142</v>
      </c>
      <c r="AC5" s="285"/>
      <c r="AD5" s="285"/>
      <c r="AE5" s="263" t="s">
        <v>109</v>
      </c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40" s="131" customFormat="1" ht="15">
      <c r="A6" s="290"/>
      <c r="B6" s="290"/>
      <c r="C6" s="294"/>
      <c r="D6" s="295"/>
      <c r="E6" s="296"/>
      <c r="F6" s="305"/>
      <c r="G6" s="297"/>
      <c r="H6" s="298"/>
      <c r="I6" s="298"/>
      <c r="J6" s="297"/>
      <c r="K6" s="298"/>
      <c r="L6" s="298"/>
      <c r="M6" s="290"/>
      <c r="N6" s="290"/>
      <c r="O6" s="290"/>
      <c r="P6" s="299"/>
      <c r="Q6" s="299"/>
      <c r="R6" s="299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63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40" s="131" customFormat="1" ht="15">
      <c r="A7" s="290"/>
      <c r="B7" s="290"/>
      <c r="C7" s="290" t="s">
        <v>68</v>
      </c>
      <c r="D7" s="300" t="s">
        <v>3</v>
      </c>
      <c r="E7" s="300" t="s">
        <v>69</v>
      </c>
      <c r="F7" s="305"/>
      <c r="G7" s="300" t="s">
        <v>5</v>
      </c>
      <c r="H7" s="290" t="s">
        <v>14</v>
      </c>
      <c r="I7" s="303"/>
      <c r="J7" s="300" t="s">
        <v>5</v>
      </c>
      <c r="K7" s="290" t="s">
        <v>14</v>
      </c>
      <c r="L7" s="303"/>
      <c r="M7" s="290" t="s">
        <v>5</v>
      </c>
      <c r="N7" s="290" t="s">
        <v>14</v>
      </c>
      <c r="O7" s="290"/>
      <c r="P7" s="290" t="s">
        <v>5</v>
      </c>
      <c r="Q7" s="290" t="s">
        <v>14</v>
      </c>
      <c r="R7" s="290"/>
      <c r="S7" s="285" t="s">
        <v>5</v>
      </c>
      <c r="T7" s="285" t="s">
        <v>14</v>
      </c>
      <c r="U7" s="285"/>
      <c r="V7" s="285" t="s">
        <v>5</v>
      </c>
      <c r="W7" s="285" t="s">
        <v>14</v>
      </c>
      <c r="X7" s="285"/>
      <c r="Y7" s="285" t="s">
        <v>5</v>
      </c>
      <c r="Z7" s="285" t="s">
        <v>14</v>
      </c>
      <c r="AA7" s="285"/>
      <c r="AB7" s="285" t="s">
        <v>5</v>
      </c>
      <c r="AC7" s="285" t="s">
        <v>14</v>
      </c>
      <c r="AD7" s="285"/>
      <c r="AE7" s="263"/>
      <c r="AF7" s="156"/>
      <c r="AG7" s="156"/>
      <c r="AH7" s="156"/>
      <c r="AI7" s="156"/>
      <c r="AJ7" s="156"/>
      <c r="AK7" s="156"/>
      <c r="AL7" s="156"/>
      <c r="AM7" s="156"/>
      <c r="AN7" s="156"/>
    </row>
    <row r="8" spans="1:40" s="131" customFormat="1" ht="50.25" customHeight="1">
      <c r="A8" s="290"/>
      <c r="B8" s="290"/>
      <c r="C8" s="290"/>
      <c r="D8" s="301"/>
      <c r="E8" s="301"/>
      <c r="F8" s="301"/>
      <c r="G8" s="301"/>
      <c r="H8" s="157" t="s">
        <v>6</v>
      </c>
      <c r="I8" s="158" t="s">
        <v>7</v>
      </c>
      <c r="J8" s="301"/>
      <c r="K8" s="157" t="s">
        <v>6</v>
      </c>
      <c r="L8" s="158" t="s">
        <v>7</v>
      </c>
      <c r="M8" s="290"/>
      <c r="N8" s="159" t="s">
        <v>6</v>
      </c>
      <c r="O8" s="159" t="s">
        <v>7</v>
      </c>
      <c r="P8" s="290"/>
      <c r="Q8" s="159" t="s">
        <v>6</v>
      </c>
      <c r="R8" s="159" t="s">
        <v>7</v>
      </c>
      <c r="S8" s="285"/>
      <c r="T8" s="160" t="s">
        <v>6</v>
      </c>
      <c r="U8" s="160" t="s">
        <v>7</v>
      </c>
      <c r="V8" s="285"/>
      <c r="W8" s="160" t="s">
        <v>6</v>
      </c>
      <c r="X8" s="160" t="s">
        <v>7</v>
      </c>
      <c r="Y8" s="285"/>
      <c r="Z8" s="160" t="s">
        <v>6</v>
      </c>
      <c r="AA8" s="160" t="s">
        <v>7</v>
      </c>
      <c r="AB8" s="285"/>
      <c r="AC8" s="160" t="s">
        <v>6</v>
      </c>
      <c r="AD8" s="160" t="s">
        <v>7</v>
      </c>
      <c r="AE8" s="263"/>
      <c r="AF8" s="161"/>
      <c r="AG8" s="161"/>
      <c r="AH8" s="156"/>
      <c r="AI8" s="161"/>
      <c r="AJ8" s="161"/>
      <c r="AK8" s="156"/>
      <c r="AL8" s="156"/>
      <c r="AM8" s="156"/>
      <c r="AN8" s="156"/>
    </row>
    <row r="9" spans="1:40" s="131" customFormat="1" ht="15">
      <c r="A9" s="162">
        <v>1</v>
      </c>
      <c r="B9" s="163" t="s">
        <v>70</v>
      </c>
      <c r="C9" s="164" t="s">
        <v>45</v>
      </c>
      <c r="D9" s="165">
        <v>36</v>
      </c>
      <c r="E9" s="166"/>
      <c r="F9" s="167">
        <f>[1]МКД!$H$197</f>
        <v>66</v>
      </c>
      <c r="G9" s="168">
        <f t="shared" ref="G9:G43" si="0">H9+I9</f>
        <v>5064.76512</v>
      </c>
      <c r="H9" s="168">
        <v>2749.9126999999999</v>
      </c>
      <c r="I9" s="169">
        <v>2314.8524200000002</v>
      </c>
      <c r="J9" s="170">
        <f t="shared" ref="J9:J43" si="1">K9+L9</f>
        <v>2490.2107900000001</v>
      </c>
      <c r="K9" s="170">
        <v>1960.2956200000001</v>
      </c>
      <c r="L9" s="171">
        <v>529.91516999999999</v>
      </c>
      <c r="M9" s="170">
        <f t="shared" ref="M9:M43" si="2">N9+O9</f>
        <v>1269.5626200000002</v>
      </c>
      <c r="N9" s="170">
        <v>1145.6481100000001</v>
      </c>
      <c r="O9" s="170">
        <v>123.91451000000001</v>
      </c>
      <c r="P9" s="170">
        <f t="shared" ref="P9:P43" si="3">Q9+R9</f>
        <v>2929.7799999999997</v>
      </c>
      <c r="Q9" s="140">
        <v>1213.49</v>
      </c>
      <c r="R9" s="140">
        <v>1716.29</v>
      </c>
      <c r="S9" s="109">
        <f t="shared" ref="S9:S43" si="4">T9+U9</f>
        <v>3036.84</v>
      </c>
      <c r="T9" s="141">
        <v>1193.9000000000001</v>
      </c>
      <c r="U9" s="141">
        <v>1842.94</v>
      </c>
      <c r="V9" s="109">
        <f t="shared" ref="V9:V43" si="5">W9+X9</f>
        <v>3137.17</v>
      </c>
      <c r="W9" s="141">
        <v>1246.51</v>
      </c>
      <c r="X9" s="141">
        <v>1890.66</v>
      </c>
      <c r="Y9" s="101">
        <f t="shared" ref="Y9:Y43" si="6">Z9+AA9</f>
        <v>3305.3</v>
      </c>
      <c r="Z9" s="137">
        <v>1332.96</v>
      </c>
      <c r="AA9" s="137">
        <v>1972.34</v>
      </c>
      <c r="AB9" s="172">
        <f t="shared" ref="AB9:AB43" si="7">AC9+AD9</f>
        <v>2823.06</v>
      </c>
      <c r="AC9" s="130">
        <v>1105.44</v>
      </c>
      <c r="AD9" s="130">
        <v>1717.62</v>
      </c>
      <c r="AE9" s="173">
        <f t="shared" ref="AE9:AE43" si="8">AB9/F9</f>
        <v>42.773636363636363</v>
      </c>
      <c r="AF9" s="174"/>
      <c r="AG9" s="174"/>
      <c r="AH9" s="175"/>
      <c r="AI9" s="175"/>
      <c r="AJ9" s="176"/>
      <c r="AK9" s="175"/>
      <c r="AL9" s="175"/>
      <c r="AM9" s="175"/>
      <c r="AN9" s="175"/>
    </row>
    <row r="10" spans="1:40" s="131" customFormat="1" ht="15">
      <c r="A10" s="162">
        <f>A9+1</f>
        <v>2</v>
      </c>
      <c r="B10" s="163" t="s">
        <v>70</v>
      </c>
      <c r="C10" s="177" t="s">
        <v>77</v>
      </c>
      <c r="D10" s="178">
        <v>2</v>
      </c>
      <c r="E10" s="179"/>
      <c r="F10" s="180">
        <f>[1]МКД!$H$226</f>
        <v>68</v>
      </c>
      <c r="G10" s="181">
        <f t="shared" si="0"/>
        <v>1556.1732500000001</v>
      </c>
      <c r="H10" s="181">
        <v>808.61067000000003</v>
      </c>
      <c r="I10" s="182">
        <v>747.56258000000003</v>
      </c>
      <c r="J10" s="183">
        <f t="shared" si="1"/>
        <v>2526.49665</v>
      </c>
      <c r="K10" s="183">
        <v>1621.4177099999999</v>
      </c>
      <c r="L10" s="184">
        <v>905.07893999999999</v>
      </c>
      <c r="M10" s="183">
        <f t="shared" si="2"/>
        <v>1745.3340600000001</v>
      </c>
      <c r="N10" s="183">
        <v>644.77326000000005</v>
      </c>
      <c r="O10" s="183">
        <v>1100.5608</v>
      </c>
      <c r="P10" s="183">
        <f t="shared" si="3"/>
        <v>1796.37</v>
      </c>
      <c r="Q10" s="142">
        <v>690.78</v>
      </c>
      <c r="R10" s="142">
        <v>1105.5899999999999</v>
      </c>
      <c r="S10" s="101">
        <f t="shared" si="4"/>
        <v>1892.51</v>
      </c>
      <c r="T10" s="118">
        <v>680.52</v>
      </c>
      <c r="U10" s="118">
        <v>1211.99</v>
      </c>
      <c r="V10" s="101">
        <f t="shared" si="5"/>
        <v>1902.6399999999999</v>
      </c>
      <c r="W10" s="118">
        <v>720.14</v>
      </c>
      <c r="X10" s="118">
        <v>1182.5</v>
      </c>
      <c r="Y10" s="101">
        <f t="shared" si="6"/>
        <v>1953.99</v>
      </c>
      <c r="Z10" s="118">
        <v>731.06</v>
      </c>
      <c r="AA10" s="118">
        <v>1222.93</v>
      </c>
      <c r="AB10" s="101">
        <f t="shared" si="7"/>
        <v>1989.2599999999998</v>
      </c>
      <c r="AC10" s="118">
        <v>692.65</v>
      </c>
      <c r="AD10" s="118">
        <v>1296.6099999999999</v>
      </c>
      <c r="AE10" s="170">
        <f t="shared" si="8"/>
        <v>29.253823529411761</v>
      </c>
      <c r="AF10" s="174"/>
      <c r="AG10" s="174"/>
      <c r="AH10" s="174"/>
      <c r="AI10" s="175"/>
      <c r="AJ10" s="175"/>
      <c r="AK10" s="175"/>
      <c r="AL10" s="175"/>
      <c r="AM10" s="175"/>
      <c r="AN10" s="175"/>
    </row>
    <row r="11" spans="1:40" s="131" customFormat="1" ht="15">
      <c r="A11" s="162">
        <f t="shared" ref="A11:A48" si="9">A10+1</f>
        <v>3</v>
      </c>
      <c r="B11" s="163" t="s">
        <v>70</v>
      </c>
      <c r="C11" s="185" t="s">
        <v>55</v>
      </c>
      <c r="D11" s="186">
        <v>18</v>
      </c>
      <c r="E11" s="187"/>
      <c r="F11" s="180">
        <f>[1]МКД!$H$219</f>
        <v>16</v>
      </c>
      <c r="G11" s="181">
        <f t="shared" si="0"/>
        <v>428.59325000000001</v>
      </c>
      <c r="H11" s="181">
        <v>160.07941</v>
      </c>
      <c r="I11" s="182">
        <v>268.51384000000002</v>
      </c>
      <c r="J11" s="183">
        <f t="shared" si="1"/>
        <v>539.87832000000003</v>
      </c>
      <c r="K11" s="183">
        <v>190.02999</v>
      </c>
      <c r="L11" s="184">
        <v>349.84832999999998</v>
      </c>
      <c r="M11" s="183">
        <f t="shared" si="2"/>
        <v>458.41771000000006</v>
      </c>
      <c r="N11" s="183">
        <v>159.28628</v>
      </c>
      <c r="O11" s="183">
        <v>299.13143000000002</v>
      </c>
      <c r="P11" s="183">
        <f t="shared" si="3"/>
        <v>425.6</v>
      </c>
      <c r="Q11" s="142">
        <v>140.43</v>
      </c>
      <c r="R11" s="142">
        <v>285.17</v>
      </c>
      <c r="S11" s="101">
        <f t="shared" si="4"/>
        <v>488.92</v>
      </c>
      <c r="T11" s="118">
        <v>116</v>
      </c>
      <c r="U11" s="118">
        <v>372.92</v>
      </c>
      <c r="V11" s="101">
        <f t="shared" si="5"/>
        <v>495.45</v>
      </c>
      <c r="W11" s="118">
        <v>146.26</v>
      </c>
      <c r="X11" s="118">
        <v>349.19</v>
      </c>
      <c r="Y11" s="101">
        <f t="shared" si="6"/>
        <v>492.73</v>
      </c>
      <c r="Z11" s="118">
        <v>149.66999999999999</v>
      </c>
      <c r="AA11" s="118">
        <v>343.06</v>
      </c>
      <c r="AB11" s="101">
        <f t="shared" si="7"/>
        <v>462.58</v>
      </c>
      <c r="AC11" s="118">
        <v>119.94</v>
      </c>
      <c r="AD11" s="118">
        <v>342.64</v>
      </c>
      <c r="AE11" s="170">
        <f t="shared" si="8"/>
        <v>28.911249999999999</v>
      </c>
      <c r="AF11" s="174"/>
      <c r="AG11" s="174"/>
      <c r="AH11" s="174"/>
      <c r="AI11" s="175"/>
      <c r="AJ11" s="176"/>
      <c r="AK11" s="175"/>
      <c r="AL11" s="175"/>
      <c r="AM11" s="175"/>
      <c r="AN11" s="175"/>
    </row>
    <row r="12" spans="1:40" s="131" customFormat="1" ht="15">
      <c r="A12" s="162">
        <f t="shared" si="9"/>
        <v>4</v>
      </c>
      <c r="B12" s="163" t="s">
        <v>70</v>
      </c>
      <c r="C12" s="185" t="s">
        <v>59</v>
      </c>
      <c r="D12" s="186">
        <v>2</v>
      </c>
      <c r="E12" s="187"/>
      <c r="F12" s="188">
        <f>[1]МКД!$H$191</f>
        <v>16</v>
      </c>
      <c r="G12" s="168">
        <f t="shared" si="0"/>
        <v>604.21357999999998</v>
      </c>
      <c r="H12" s="168">
        <v>189.59833</v>
      </c>
      <c r="I12" s="169">
        <v>414.61525</v>
      </c>
      <c r="J12" s="170">
        <f t="shared" si="1"/>
        <v>721.83464000000004</v>
      </c>
      <c r="K12" s="189">
        <v>279.47302999999999</v>
      </c>
      <c r="L12" s="190">
        <v>442.36160999999998</v>
      </c>
      <c r="M12" s="170">
        <f t="shared" si="2"/>
        <v>390.93211000000002</v>
      </c>
      <c r="N12" s="170">
        <v>125.74252</v>
      </c>
      <c r="O12" s="170">
        <v>265.18959000000001</v>
      </c>
      <c r="P12" s="170">
        <f t="shared" si="3"/>
        <v>385.14</v>
      </c>
      <c r="Q12" s="189">
        <v>132.80000000000001</v>
      </c>
      <c r="R12" s="189">
        <v>252.34</v>
      </c>
      <c r="S12" s="109">
        <f t="shared" si="4"/>
        <v>424.02</v>
      </c>
      <c r="T12" s="191">
        <v>131.03</v>
      </c>
      <c r="U12" s="191">
        <v>292.99</v>
      </c>
      <c r="V12" s="109">
        <f t="shared" si="5"/>
        <v>337.8</v>
      </c>
      <c r="W12" s="191">
        <v>122.5</v>
      </c>
      <c r="X12" s="191">
        <v>215.3</v>
      </c>
      <c r="Y12" s="101">
        <f t="shared" si="6"/>
        <v>378.11</v>
      </c>
      <c r="Z12" s="118">
        <v>132.35</v>
      </c>
      <c r="AA12" s="118">
        <v>245.76</v>
      </c>
      <c r="AB12" s="101">
        <f t="shared" si="7"/>
        <v>432.46000000000004</v>
      </c>
      <c r="AC12" s="118">
        <v>146.72</v>
      </c>
      <c r="AD12" s="118">
        <v>285.74</v>
      </c>
      <c r="AE12" s="170">
        <f t="shared" si="8"/>
        <v>27.028750000000002</v>
      </c>
      <c r="AF12" s="174"/>
      <c r="AG12" s="174"/>
      <c r="AH12" s="174"/>
      <c r="AI12" s="175"/>
      <c r="AJ12" s="175"/>
      <c r="AK12" s="175"/>
      <c r="AL12" s="175"/>
      <c r="AM12" s="175"/>
      <c r="AN12" s="175"/>
    </row>
    <row r="13" spans="1:40" s="131" customFormat="1" ht="15">
      <c r="A13" s="162">
        <f t="shared" si="9"/>
        <v>5</v>
      </c>
      <c r="B13" s="163" t="s">
        <v>70</v>
      </c>
      <c r="C13" s="192" t="s">
        <v>36</v>
      </c>
      <c r="D13" s="193">
        <v>35</v>
      </c>
      <c r="E13" s="194"/>
      <c r="F13" s="188">
        <f>[1]МКД!$H$204</f>
        <v>60</v>
      </c>
      <c r="G13" s="168">
        <f t="shared" si="0"/>
        <v>1251.2646500000001</v>
      </c>
      <c r="H13" s="168">
        <v>523.39993000000004</v>
      </c>
      <c r="I13" s="169">
        <v>727.86472000000003</v>
      </c>
      <c r="J13" s="170">
        <f t="shared" si="1"/>
        <v>1397.0937200000001</v>
      </c>
      <c r="K13" s="170">
        <v>576.53876000000002</v>
      </c>
      <c r="L13" s="195">
        <v>820.55496000000005</v>
      </c>
      <c r="M13" s="170">
        <f t="shared" si="2"/>
        <v>1374.7959999999998</v>
      </c>
      <c r="N13" s="170">
        <v>599.11793999999998</v>
      </c>
      <c r="O13" s="170">
        <v>775.67805999999996</v>
      </c>
      <c r="P13" s="170">
        <f t="shared" si="3"/>
        <v>1445.92</v>
      </c>
      <c r="Q13" s="189">
        <v>635.54999999999995</v>
      </c>
      <c r="R13" s="189">
        <v>810.37</v>
      </c>
      <c r="S13" s="109">
        <f t="shared" si="4"/>
        <v>1509.29</v>
      </c>
      <c r="T13" s="191">
        <v>628.24</v>
      </c>
      <c r="U13" s="191">
        <v>881.05</v>
      </c>
      <c r="V13" s="109">
        <f t="shared" si="5"/>
        <v>1554.5</v>
      </c>
      <c r="W13" s="191">
        <v>637.49</v>
      </c>
      <c r="X13" s="191">
        <v>917.01</v>
      </c>
      <c r="Y13" s="101">
        <f t="shared" si="6"/>
        <v>1541.02</v>
      </c>
      <c r="Z13" s="118">
        <v>624.11</v>
      </c>
      <c r="AA13" s="118">
        <v>916.91</v>
      </c>
      <c r="AB13" s="101">
        <f t="shared" si="7"/>
        <v>1482.32</v>
      </c>
      <c r="AC13" s="118">
        <v>551.26</v>
      </c>
      <c r="AD13" s="118">
        <v>931.06</v>
      </c>
      <c r="AE13" s="170">
        <f t="shared" si="8"/>
        <v>24.705333333333332</v>
      </c>
      <c r="AF13" s="196"/>
      <c r="AG13" s="197"/>
      <c r="AH13" s="197"/>
      <c r="AI13" s="198"/>
      <c r="AJ13" s="198"/>
      <c r="AK13" s="198"/>
      <c r="AL13" s="199"/>
      <c r="AM13" s="199"/>
      <c r="AN13" s="199"/>
    </row>
    <row r="14" spans="1:40" s="131" customFormat="1" ht="15">
      <c r="A14" s="162">
        <f t="shared" si="9"/>
        <v>6</v>
      </c>
      <c r="B14" s="163" t="s">
        <v>70</v>
      </c>
      <c r="C14" s="185" t="s">
        <v>55</v>
      </c>
      <c r="D14" s="186">
        <v>10</v>
      </c>
      <c r="E14" s="134"/>
      <c r="F14" s="200">
        <f>[1]МКД!$H$212</f>
        <v>12</v>
      </c>
      <c r="G14" s="181">
        <f t="shared" si="0"/>
        <v>88.988659999999996</v>
      </c>
      <c r="H14" s="201">
        <v>76.109589999999997</v>
      </c>
      <c r="I14" s="202">
        <v>12.87907</v>
      </c>
      <c r="J14" s="183">
        <f t="shared" si="1"/>
        <v>266.38479000000001</v>
      </c>
      <c r="K14" s="183">
        <v>101.85702999999999</v>
      </c>
      <c r="L14" s="184">
        <v>164.52776</v>
      </c>
      <c r="M14" s="183">
        <f t="shared" si="2"/>
        <v>400.14957000000004</v>
      </c>
      <c r="N14" s="183">
        <v>173.52600000000001</v>
      </c>
      <c r="O14" s="183">
        <v>226.62357</v>
      </c>
      <c r="P14" s="183">
        <f t="shared" si="3"/>
        <v>294.77</v>
      </c>
      <c r="Q14" s="142">
        <v>116.07</v>
      </c>
      <c r="R14" s="142">
        <v>178.7</v>
      </c>
      <c r="S14" s="101">
        <f t="shared" si="4"/>
        <v>305.99</v>
      </c>
      <c r="T14" s="118">
        <v>125.01</v>
      </c>
      <c r="U14" s="118">
        <v>180.98</v>
      </c>
      <c r="V14" s="101">
        <f t="shared" si="5"/>
        <v>308.99</v>
      </c>
      <c r="W14" s="118">
        <v>122.91</v>
      </c>
      <c r="X14" s="118">
        <v>186.08</v>
      </c>
      <c r="Y14" s="101">
        <f t="shared" si="6"/>
        <v>301.24</v>
      </c>
      <c r="Z14" s="118">
        <v>115.71</v>
      </c>
      <c r="AA14" s="118">
        <v>185.53</v>
      </c>
      <c r="AB14" s="101">
        <f t="shared" si="7"/>
        <v>271.52999999999997</v>
      </c>
      <c r="AC14" s="118">
        <v>91.35</v>
      </c>
      <c r="AD14" s="118">
        <v>180.18</v>
      </c>
      <c r="AE14" s="170">
        <f t="shared" si="8"/>
        <v>22.627499999999998</v>
      </c>
      <c r="AF14" s="203"/>
      <c r="AG14" s="203"/>
      <c r="AH14" s="203"/>
      <c r="AI14" s="198"/>
      <c r="AJ14" s="198"/>
      <c r="AK14" s="198"/>
      <c r="AL14" s="199"/>
      <c r="AM14" s="199"/>
      <c r="AN14" s="175"/>
    </row>
    <row r="15" spans="1:40" s="131" customFormat="1" ht="15">
      <c r="A15" s="162">
        <f t="shared" si="9"/>
        <v>7</v>
      </c>
      <c r="B15" s="163" t="s">
        <v>70</v>
      </c>
      <c r="C15" s="185" t="s">
        <v>59</v>
      </c>
      <c r="D15" s="186">
        <v>4</v>
      </c>
      <c r="E15" s="187"/>
      <c r="F15" s="188">
        <f>[1]МКД!$H$194</f>
        <v>16</v>
      </c>
      <c r="G15" s="168">
        <f t="shared" si="0"/>
        <v>218.97766000000001</v>
      </c>
      <c r="H15" s="168">
        <v>79.541499999999999</v>
      </c>
      <c r="I15" s="169">
        <v>139.43616</v>
      </c>
      <c r="J15" s="170">
        <f t="shared" si="1"/>
        <v>321.53346999999997</v>
      </c>
      <c r="K15" s="170">
        <v>110.17864</v>
      </c>
      <c r="L15" s="195">
        <v>211.35482999999999</v>
      </c>
      <c r="M15" s="170">
        <f t="shared" si="2"/>
        <v>308.28877</v>
      </c>
      <c r="N15" s="170">
        <v>112.42458000000001</v>
      </c>
      <c r="O15" s="170">
        <v>195.86419000000001</v>
      </c>
      <c r="P15" s="170">
        <f t="shared" si="3"/>
        <v>319.82</v>
      </c>
      <c r="Q15" s="189">
        <v>119.78</v>
      </c>
      <c r="R15" s="189">
        <v>200.04</v>
      </c>
      <c r="S15" s="109">
        <f t="shared" si="4"/>
        <v>387.66999999999996</v>
      </c>
      <c r="T15" s="191">
        <v>120.64</v>
      </c>
      <c r="U15" s="191">
        <v>267.02999999999997</v>
      </c>
      <c r="V15" s="109">
        <f t="shared" si="5"/>
        <v>373.21</v>
      </c>
      <c r="W15" s="191">
        <v>106.2</v>
      </c>
      <c r="X15" s="191">
        <v>267.01</v>
      </c>
      <c r="Y15" s="101">
        <f t="shared" si="6"/>
        <v>370.14</v>
      </c>
      <c r="Z15" s="118">
        <v>119.97</v>
      </c>
      <c r="AA15" s="118">
        <v>250.17</v>
      </c>
      <c r="AB15" s="101">
        <f t="shared" si="7"/>
        <v>354.61</v>
      </c>
      <c r="AC15" s="118">
        <v>116.27</v>
      </c>
      <c r="AD15" s="118">
        <v>238.34</v>
      </c>
      <c r="AE15" s="170">
        <f t="shared" si="8"/>
        <v>22.163125000000001</v>
      </c>
      <c r="AF15" s="203"/>
      <c r="AG15" s="203"/>
      <c r="AH15" s="203"/>
      <c r="AI15" s="198"/>
      <c r="AJ15" s="198"/>
      <c r="AK15" s="198"/>
      <c r="AL15" s="199"/>
      <c r="AM15" s="199"/>
      <c r="AN15" s="175"/>
    </row>
    <row r="16" spans="1:40" s="131" customFormat="1" ht="15">
      <c r="A16" s="162">
        <f t="shared" si="9"/>
        <v>8</v>
      </c>
      <c r="B16" s="163" t="s">
        <v>70</v>
      </c>
      <c r="C16" s="192" t="s">
        <v>36</v>
      </c>
      <c r="D16" s="186">
        <v>27</v>
      </c>
      <c r="E16" s="194"/>
      <c r="F16" s="204">
        <f>[1]МКД!$H$199</f>
        <v>80</v>
      </c>
      <c r="G16" s="168">
        <f t="shared" si="0"/>
        <v>1776.9093600000001</v>
      </c>
      <c r="H16" s="168">
        <v>460.53561000000002</v>
      </c>
      <c r="I16" s="169">
        <v>1316.37375</v>
      </c>
      <c r="J16" s="170">
        <f t="shared" si="1"/>
        <v>865.87359000000004</v>
      </c>
      <c r="K16" s="170">
        <v>41.091189999999997</v>
      </c>
      <c r="L16" s="195">
        <v>824.78240000000005</v>
      </c>
      <c r="M16" s="170">
        <f t="shared" si="2"/>
        <v>1580.3514600000001</v>
      </c>
      <c r="N16" s="170">
        <v>433.12128999999999</v>
      </c>
      <c r="O16" s="170">
        <v>1147.23017</v>
      </c>
      <c r="P16" s="170">
        <f t="shared" si="3"/>
        <v>1442.1799999999998</v>
      </c>
      <c r="Q16" s="140">
        <v>441.88</v>
      </c>
      <c r="R16" s="140">
        <v>1000.3</v>
      </c>
      <c r="S16" s="109">
        <f t="shared" si="4"/>
        <v>1556.1499999999999</v>
      </c>
      <c r="T16" s="141">
        <v>419.57</v>
      </c>
      <c r="U16" s="141">
        <v>1136.58</v>
      </c>
      <c r="V16" s="109">
        <f t="shared" si="5"/>
        <v>1679.95</v>
      </c>
      <c r="W16" s="141">
        <v>426.68</v>
      </c>
      <c r="X16" s="141">
        <v>1253.27</v>
      </c>
      <c r="Y16" s="101">
        <f t="shared" si="6"/>
        <v>1648.02</v>
      </c>
      <c r="Z16" s="137">
        <v>412.06</v>
      </c>
      <c r="AA16" s="137">
        <v>1235.96</v>
      </c>
      <c r="AB16" s="101">
        <f t="shared" si="7"/>
        <v>1715.9099999999999</v>
      </c>
      <c r="AC16" s="137">
        <v>351.34</v>
      </c>
      <c r="AD16" s="137">
        <v>1364.57</v>
      </c>
      <c r="AE16" s="170">
        <f t="shared" si="8"/>
        <v>21.448874999999997</v>
      </c>
      <c r="AF16" s="203"/>
      <c r="AG16" s="203"/>
      <c r="AH16" s="203"/>
      <c r="AI16" s="198"/>
      <c r="AJ16" s="198"/>
      <c r="AK16" s="198"/>
      <c r="AL16" s="199"/>
      <c r="AM16" s="199"/>
      <c r="AN16" s="175"/>
    </row>
    <row r="17" spans="1:40" s="131" customFormat="1" ht="15">
      <c r="A17" s="162">
        <f t="shared" si="9"/>
        <v>9</v>
      </c>
      <c r="B17" s="163" t="s">
        <v>70</v>
      </c>
      <c r="C17" s="192" t="s">
        <v>36</v>
      </c>
      <c r="D17" s="193">
        <v>37</v>
      </c>
      <c r="E17" s="205"/>
      <c r="F17" s="180">
        <f>[1]МКД!$H$205</f>
        <v>60</v>
      </c>
      <c r="G17" s="181">
        <f t="shared" si="0"/>
        <v>993.39929999999993</v>
      </c>
      <c r="H17" s="181">
        <v>280.17597999999998</v>
      </c>
      <c r="I17" s="182">
        <v>713.22331999999994</v>
      </c>
      <c r="J17" s="183">
        <f t="shared" si="1"/>
        <v>2077.2797099999998</v>
      </c>
      <c r="K17" s="183">
        <v>1414.79475</v>
      </c>
      <c r="L17" s="184">
        <v>662.48496</v>
      </c>
      <c r="M17" s="183">
        <f t="shared" si="2"/>
        <v>1073.6106600000001</v>
      </c>
      <c r="N17" s="183">
        <v>358.36349000000001</v>
      </c>
      <c r="O17" s="183">
        <v>715.24716999999998</v>
      </c>
      <c r="P17" s="183">
        <f t="shared" si="3"/>
        <v>1084.3800000000001</v>
      </c>
      <c r="Q17" s="142">
        <v>373.47</v>
      </c>
      <c r="R17" s="142">
        <v>710.91</v>
      </c>
      <c r="S17" s="101">
        <f t="shared" si="4"/>
        <v>1191.4499999999998</v>
      </c>
      <c r="T17" s="118">
        <v>383.39</v>
      </c>
      <c r="U17" s="118">
        <v>808.06</v>
      </c>
      <c r="V17" s="101">
        <f t="shared" si="5"/>
        <v>1243.6399999999999</v>
      </c>
      <c r="W17" s="118">
        <v>417.83</v>
      </c>
      <c r="X17" s="118">
        <v>825.81</v>
      </c>
      <c r="Y17" s="101">
        <f t="shared" si="6"/>
        <v>1303.7</v>
      </c>
      <c r="Z17" s="118">
        <v>430.57</v>
      </c>
      <c r="AA17" s="118">
        <v>873.13</v>
      </c>
      <c r="AB17" s="101">
        <f t="shared" si="7"/>
        <v>1285.1599999999999</v>
      </c>
      <c r="AC17" s="118">
        <v>318.01</v>
      </c>
      <c r="AD17" s="118">
        <v>967.15</v>
      </c>
      <c r="AE17" s="170">
        <f t="shared" si="8"/>
        <v>21.419333333333331</v>
      </c>
      <c r="AF17" s="206"/>
      <c r="AG17" s="206"/>
      <c r="AH17" s="206"/>
      <c r="AI17" s="207"/>
      <c r="AJ17" s="206"/>
      <c r="AK17" s="206"/>
      <c r="AL17" s="206"/>
      <c r="AM17" s="206"/>
      <c r="AN17" s="206"/>
    </row>
    <row r="18" spans="1:40" s="131" customFormat="1" ht="15">
      <c r="A18" s="162">
        <f t="shared" si="9"/>
        <v>10</v>
      </c>
      <c r="B18" s="163" t="s">
        <v>70</v>
      </c>
      <c r="C18" s="192" t="s">
        <v>36</v>
      </c>
      <c r="D18" s="186">
        <v>27</v>
      </c>
      <c r="E18" s="186" t="s">
        <v>21</v>
      </c>
      <c r="F18" s="188">
        <f>[1]МКД!$H$201</f>
        <v>56</v>
      </c>
      <c r="G18" s="168">
        <f t="shared" si="0"/>
        <v>992.48108000000002</v>
      </c>
      <c r="H18" s="168">
        <v>377.89307000000002</v>
      </c>
      <c r="I18" s="169">
        <v>614.58801000000005</v>
      </c>
      <c r="J18" s="170">
        <f t="shared" si="1"/>
        <v>1060.1730400000001</v>
      </c>
      <c r="K18" s="170">
        <v>393.59717999999998</v>
      </c>
      <c r="L18" s="195">
        <v>666.57586000000003</v>
      </c>
      <c r="M18" s="170">
        <f t="shared" si="2"/>
        <v>1075.1086399999999</v>
      </c>
      <c r="N18" s="170">
        <v>399.85160999999999</v>
      </c>
      <c r="O18" s="170">
        <v>675.25702999999999</v>
      </c>
      <c r="P18" s="170">
        <f t="shared" si="3"/>
        <v>1126.6400000000001</v>
      </c>
      <c r="Q18" s="189">
        <v>429.57</v>
      </c>
      <c r="R18" s="189">
        <v>697.07</v>
      </c>
      <c r="S18" s="109">
        <f t="shared" si="4"/>
        <v>1238.72</v>
      </c>
      <c r="T18" s="191">
        <v>445.9</v>
      </c>
      <c r="U18" s="191">
        <v>792.82</v>
      </c>
      <c r="V18" s="109">
        <f t="shared" si="5"/>
        <v>1167.1599999999999</v>
      </c>
      <c r="W18" s="191">
        <v>387.98</v>
      </c>
      <c r="X18" s="191">
        <v>779.18</v>
      </c>
      <c r="Y18" s="101">
        <f t="shared" si="6"/>
        <v>1337.78</v>
      </c>
      <c r="Z18" s="118">
        <v>448.46</v>
      </c>
      <c r="AA18" s="118">
        <v>889.32</v>
      </c>
      <c r="AB18" s="101">
        <f t="shared" si="7"/>
        <v>1108.2</v>
      </c>
      <c r="AC18" s="118">
        <v>228.27</v>
      </c>
      <c r="AD18" s="118">
        <v>879.93</v>
      </c>
      <c r="AE18" s="170">
        <f t="shared" si="8"/>
        <v>19.789285714285715</v>
      </c>
    </row>
    <row r="19" spans="1:40" s="131" customFormat="1" ht="15">
      <c r="A19" s="162">
        <f t="shared" si="9"/>
        <v>11</v>
      </c>
      <c r="B19" s="163" t="s">
        <v>70</v>
      </c>
      <c r="C19" s="185" t="s">
        <v>19</v>
      </c>
      <c r="D19" s="186">
        <v>46</v>
      </c>
      <c r="E19" s="134"/>
      <c r="F19" s="180">
        <f>[1]МКД!$H$208</f>
        <v>26</v>
      </c>
      <c r="G19" s="181">
        <f t="shared" si="0"/>
        <v>278.06727000000001</v>
      </c>
      <c r="H19" s="181">
        <v>131.51737</v>
      </c>
      <c r="I19" s="182">
        <v>146.54990000000001</v>
      </c>
      <c r="J19" s="183">
        <f t="shared" si="1"/>
        <v>479.78493000000003</v>
      </c>
      <c r="K19" s="183">
        <v>239.81532999999999</v>
      </c>
      <c r="L19" s="184">
        <v>239.96960000000001</v>
      </c>
      <c r="M19" s="183">
        <f t="shared" si="2"/>
        <v>501.53216000000003</v>
      </c>
      <c r="N19" s="183">
        <v>241.36115000000001</v>
      </c>
      <c r="O19" s="183">
        <v>260.17101000000002</v>
      </c>
      <c r="P19" s="183">
        <f t="shared" si="3"/>
        <v>505.77</v>
      </c>
      <c r="Q19" s="142">
        <v>219.29</v>
      </c>
      <c r="R19" s="142">
        <v>286.48</v>
      </c>
      <c r="S19" s="101">
        <f t="shared" si="4"/>
        <v>534.69000000000005</v>
      </c>
      <c r="T19" s="118">
        <v>219.83</v>
      </c>
      <c r="U19" s="118">
        <v>314.86</v>
      </c>
      <c r="V19" s="101">
        <f t="shared" si="5"/>
        <v>538.85</v>
      </c>
      <c r="W19" s="118">
        <v>251.58</v>
      </c>
      <c r="X19" s="118">
        <v>287.27</v>
      </c>
      <c r="Y19" s="101">
        <f t="shared" si="6"/>
        <v>445.57000000000005</v>
      </c>
      <c r="Z19" s="118">
        <v>229.49</v>
      </c>
      <c r="AA19" s="118">
        <v>216.08</v>
      </c>
      <c r="AB19" s="101">
        <f t="shared" si="7"/>
        <v>497.53</v>
      </c>
      <c r="AC19" s="118">
        <v>223.72</v>
      </c>
      <c r="AD19" s="118">
        <v>273.81</v>
      </c>
      <c r="AE19" s="170">
        <f t="shared" si="8"/>
        <v>19.135769230769231</v>
      </c>
    </row>
    <row r="20" spans="1:40" s="131" customFormat="1" ht="15">
      <c r="A20" s="162">
        <f t="shared" si="9"/>
        <v>12</v>
      </c>
      <c r="B20" s="163" t="s">
        <v>70</v>
      </c>
      <c r="C20" s="185" t="s">
        <v>19</v>
      </c>
      <c r="D20" s="186">
        <v>27</v>
      </c>
      <c r="E20" s="208" t="s">
        <v>20</v>
      </c>
      <c r="F20" s="188">
        <f>[1]МКД!$H$200</f>
        <v>60</v>
      </c>
      <c r="G20" s="168">
        <f t="shared" si="0"/>
        <v>948.48193000000003</v>
      </c>
      <c r="H20" s="168">
        <v>315.82191999999998</v>
      </c>
      <c r="I20" s="169">
        <v>632.66001000000006</v>
      </c>
      <c r="J20" s="170">
        <f t="shared" si="1"/>
        <v>1144.8807000000002</v>
      </c>
      <c r="K20" s="170">
        <v>360.02530000000002</v>
      </c>
      <c r="L20" s="195">
        <v>784.85540000000003</v>
      </c>
      <c r="M20" s="170">
        <f t="shared" si="2"/>
        <v>1139.19074</v>
      </c>
      <c r="N20" s="170">
        <v>385.64962000000003</v>
      </c>
      <c r="O20" s="170">
        <v>753.54111999999998</v>
      </c>
      <c r="P20" s="170">
        <f t="shared" si="3"/>
        <v>1195.48</v>
      </c>
      <c r="Q20" s="189">
        <v>434.83</v>
      </c>
      <c r="R20" s="189">
        <v>760.65</v>
      </c>
      <c r="S20" s="109">
        <f t="shared" si="4"/>
        <v>1261.6500000000001</v>
      </c>
      <c r="T20" s="191">
        <v>422.71</v>
      </c>
      <c r="U20" s="191">
        <v>838.94</v>
      </c>
      <c r="V20" s="109">
        <f t="shared" si="5"/>
        <v>1148.46</v>
      </c>
      <c r="W20" s="191">
        <v>341.01</v>
      </c>
      <c r="X20" s="191">
        <v>807.45</v>
      </c>
      <c r="Y20" s="101">
        <f t="shared" si="6"/>
        <v>1231.57</v>
      </c>
      <c r="Z20" s="118">
        <v>346.94</v>
      </c>
      <c r="AA20" s="118">
        <v>884.63</v>
      </c>
      <c r="AB20" s="101">
        <f t="shared" si="7"/>
        <v>1110.22</v>
      </c>
      <c r="AC20" s="118">
        <v>292.91000000000003</v>
      </c>
      <c r="AD20" s="118">
        <v>817.31</v>
      </c>
      <c r="AE20" s="170">
        <f t="shared" si="8"/>
        <v>18.503666666666668</v>
      </c>
    </row>
    <row r="21" spans="1:40" s="131" customFormat="1" ht="15">
      <c r="A21" s="162">
        <f t="shared" si="9"/>
        <v>13</v>
      </c>
      <c r="B21" s="163" t="s">
        <v>70</v>
      </c>
      <c r="C21" s="185" t="s">
        <v>22</v>
      </c>
      <c r="D21" s="186">
        <v>22</v>
      </c>
      <c r="E21" s="187"/>
      <c r="F21" s="209">
        <f>[1]МКД!$H$196</f>
        <v>48</v>
      </c>
      <c r="G21" s="168">
        <f t="shared" si="0"/>
        <v>692.70463999999993</v>
      </c>
      <c r="H21" s="168">
        <v>147.67697999999999</v>
      </c>
      <c r="I21" s="169">
        <v>545.02765999999997</v>
      </c>
      <c r="J21" s="170">
        <f t="shared" si="1"/>
        <v>695.33757000000003</v>
      </c>
      <c r="K21" s="170">
        <v>179.81208000000001</v>
      </c>
      <c r="L21" s="195">
        <v>515.52548999999999</v>
      </c>
      <c r="M21" s="170">
        <f t="shared" si="2"/>
        <v>665.01081999999997</v>
      </c>
      <c r="N21" s="170">
        <v>245.91922</v>
      </c>
      <c r="O21" s="170">
        <v>419.09160000000003</v>
      </c>
      <c r="P21" s="170">
        <f t="shared" si="3"/>
        <v>699.36</v>
      </c>
      <c r="Q21" s="140">
        <v>249.81</v>
      </c>
      <c r="R21" s="140">
        <v>449.55</v>
      </c>
      <c r="S21" s="109">
        <f t="shared" si="4"/>
        <v>817.09</v>
      </c>
      <c r="T21" s="141">
        <v>231.36</v>
      </c>
      <c r="U21" s="141">
        <v>585.73</v>
      </c>
      <c r="V21" s="109">
        <f t="shared" si="5"/>
        <v>840.18999999999994</v>
      </c>
      <c r="W21" s="141">
        <v>233.39</v>
      </c>
      <c r="X21" s="141">
        <v>606.79999999999995</v>
      </c>
      <c r="Y21" s="101">
        <f t="shared" si="6"/>
        <v>872.69999999999993</v>
      </c>
      <c r="Z21" s="137">
        <v>223.89</v>
      </c>
      <c r="AA21" s="137">
        <v>648.80999999999995</v>
      </c>
      <c r="AB21" s="101">
        <f t="shared" si="7"/>
        <v>873.43</v>
      </c>
      <c r="AC21" s="137">
        <v>163.26</v>
      </c>
      <c r="AD21" s="137">
        <v>710.17</v>
      </c>
      <c r="AE21" s="170">
        <f t="shared" si="8"/>
        <v>18.196458333333332</v>
      </c>
    </row>
    <row r="22" spans="1:40" s="131" customFormat="1" ht="15">
      <c r="A22" s="162">
        <f t="shared" si="9"/>
        <v>14</v>
      </c>
      <c r="B22" s="163" t="s">
        <v>70</v>
      </c>
      <c r="C22" s="192" t="s">
        <v>73</v>
      </c>
      <c r="D22" s="186">
        <v>20</v>
      </c>
      <c r="E22" s="187"/>
      <c r="F22" s="180">
        <f>[1]МКД!$H$220</f>
        <v>36</v>
      </c>
      <c r="G22" s="181">
        <f t="shared" si="0"/>
        <v>387.18428</v>
      </c>
      <c r="H22" s="181">
        <v>167.82529</v>
      </c>
      <c r="I22" s="182">
        <v>219.35899000000001</v>
      </c>
      <c r="J22" s="183">
        <f t="shared" si="1"/>
        <v>466.86792000000003</v>
      </c>
      <c r="K22" s="183">
        <v>190.15061</v>
      </c>
      <c r="L22" s="184">
        <v>276.71731</v>
      </c>
      <c r="M22" s="183">
        <f t="shared" si="2"/>
        <v>502.52279999999996</v>
      </c>
      <c r="N22" s="183">
        <v>205.40548999999999</v>
      </c>
      <c r="O22" s="183">
        <v>297.11730999999997</v>
      </c>
      <c r="P22" s="183">
        <f t="shared" si="3"/>
        <v>519</v>
      </c>
      <c r="Q22" s="142">
        <v>221.84</v>
      </c>
      <c r="R22" s="142">
        <v>297.16000000000003</v>
      </c>
      <c r="S22" s="101">
        <f t="shared" si="4"/>
        <v>534.38</v>
      </c>
      <c r="T22" s="118">
        <v>209.57</v>
      </c>
      <c r="U22" s="118">
        <v>324.81</v>
      </c>
      <c r="V22" s="101">
        <f t="shared" si="5"/>
        <v>504.86</v>
      </c>
      <c r="W22" s="118">
        <v>174.85</v>
      </c>
      <c r="X22" s="118">
        <v>330.01</v>
      </c>
      <c r="Y22" s="101">
        <f t="shared" si="6"/>
        <v>528.73</v>
      </c>
      <c r="Z22" s="118">
        <v>176.55</v>
      </c>
      <c r="AA22" s="118">
        <v>352.18</v>
      </c>
      <c r="AB22" s="101">
        <f t="shared" si="7"/>
        <v>634.67999999999995</v>
      </c>
      <c r="AC22" s="118">
        <v>169.9</v>
      </c>
      <c r="AD22" s="118">
        <v>464.78</v>
      </c>
      <c r="AE22" s="170">
        <f t="shared" si="8"/>
        <v>17.63</v>
      </c>
    </row>
    <row r="23" spans="1:40" s="131" customFormat="1" ht="15">
      <c r="A23" s="162">
        <f t="shared" si="9"/>
        <v>15</v>
      </c>
      <c r="B23" s="163" t="s">
        <v>70</v>
      </c>
      <c r="C23" s="192" t="s">
        <v>73</v>
      </c>
      <c r="D23" s="210">
        <v>10</v>
      </c>
      <c r="E23" s="210" t="s">
        <v>20</v>
      </c>
      <c r="F23" s="211">
        <f>[1]МКД!$H$213</f>
        <v>30</v>
      </c>
      <c r="G23" s="181">
        <f t="shared" si="0"/>
        <v>421.28057000000001</v>
      </c>
      <c r="H23" s="181">
        <v>290.46321</v>
      </c>
      <c r="I23" s="182">
        <v>130.81736000000001</v>
      </c>
      <c r="J23" s="183">
        <f t="shared" si="1"/>
        <v>452.29002000000003</v>
      </c>
      <c r="K23" s="183">
        <v>274.14888999999999</v>
      </c>
      <c r="L23" s="184">
        <v>178.14113</v>
      </c>
      <c r="M23" s="183">
        <f t="shared" si="2"/>
        <v>501.88738999999998</v>
      </c>
      <c r="N23" s="183">
        <v>293.95958000000002</v>
      </c>
      <c r="O23" s="183">
        <v>207.92780999999999</v>
      </c>
      <c r="P23" s="183">
        <f t="shared" si="3"/>
        <v>540.04</v>
      </c>
      <c r="Q23" s="142">
        <v>332.16</v>
      </c>
      <c r="R23" s="142">
        <v>207.88</v>
      </c>
      <c r="S23" s="101">
        <f t="shared" si="4"/>
        <v>556.41</v>
      </c>
      <c r="T23" s="118">
        <v>323.14999999999998</v>
      </c>
      <c r="U23" s="118">
        <v>233.26</v>
      </c>
      <c r="V23" s="101">
        <f t="shared" si="5"/>
        <v>471.69000000000005</v>
      </c>
      <c r="W23" s="118">
        <v>274.47000000000003</v>
      </c>
      <c r="X23" s="118">
        <v>197.22</v>
      </c>
      <c r="Y23" s="101">
        <f t="shared" si="6"/>
        <v>534.61</v>
      </c>
      <c r="Z23" s="118">
        <v>305.98</v>
      </c>
      <c r="AA23" s="118">
        <v>228.63</v>
      </c>
      <c r="AB23" s="101">
        <f t="shared" si="7"/>
        <v>525.95000000000005</v>
      </c>
      <c r="AC23" s="118">
        <v>301.97000000000003</v>
      </c>
      <c r="AD23" s="118">
        <v>223.98</v>
      </c>
      <c r="AE23" s="170">
        <f t="shared" si="8"/>
        <v>17.53166666666667</v>
      </c>
    </row>
    <row r="24" spans="1:40" s="131" customFormat="1" ht="15">
      <c r="A24" s="162">
        <f t="shared" si="9"/>
        <v>16</v>
      </c>
      <c r="B24" s="163" t="s">
        <v>70</v>
      </c>
      <c r="C24" s="185" t="s">
        <v>55</v>
      </c>
      <c r="D24" s="186">
        <v>16</v>
      </c>
      <c r="E24" s="187"/>
      <c r="F24" s="180">
        <f>[1]МКД!$H$218</f>
        <v>8</v>
      </c>
      <c r="G24" s="181">
        <f t="shared" si="0"/>
        <v>65.160290000000003</v>
      </c>
      <c r="H24" s="181">
        <v>19.157080000000001</v>
      </c>
      <c r="I24" s="182">
        <v>46.003210000000003</v>
      </c>
      <c r="J24" s="183">
        <f t="shared" si="1"/>
        <v>64.951189999999997</v>
      </c>
      <c r="K24" s="183">
        <v>21.674859999999999</v>
      </c>
      <c r="L24" s="184">
        <v>43.276330000000002</v>
      </c>
      <c r="M24" s="183">
        <f t="shared" si="2"/>
        <v>68.565899999999999</v>
      </c>
      <c r="N24" s="183">
        <v>26.856259999999999</v>
      </c>
      <c r="O24" s="183">
        <v>41.70964</v>
      </c>
      <c r="P24" s="183">
        <f t="shared" si="3"/>
        <v>68.23</v>
      </c>
      <c r="Q24" s="142">
        <v>28.63</v>
      </c>
      <c r="R24" s="142">
        <v>39.6</v>
      </c>
      <c r="S24" s="101">
        <f t="shared" si="4"/>
        <v>107.97</v>
      </c>
      <c r="T24" s="118">
        <v>33.54</v>
      </c>
      <c r="U24" s="118">
        <v>74.430000000000007</v>
      </c>
      <c r="V24" s="101">
        <f t="shared" si="5"/>
        <v>123.96</v>
      </c>
      <c r="W24" s="118">
        <v>38.75</v>
      </c>
      <c r="X24" s="118">
        <v>85.21</v>
      </c>
      <c r="Y24" s="101">
        <f t="shared" si="6"/>
        <v>147.69999999999999</v>
      </c>
      <c r="Z24" s="118">
        <v>43.97</v>
      </c>
      <c r="AA24" s="118">
        <v>103.73</v>
      </c>
      <c r="AB24" s="101">
        <f t="shared" si="7"/>
        <v>140.05000000000001</v>
      </c>
      <c r="AC24" s="118">
        <v>42.28</v>
      </c>
      <c r="AD24" s="118">
        <v>97.77</v>
      </c>
      <c r="AE24" s="170">
        <f t="shared" si="8"/>
        <v>17.506250000000001</v>
      </c>
    </row>
    <row r="25" spans="1:40" s="131" customFormat="1" ht="15">
      <c r="A25" s="162">
        <f t="shared" si="9"/>
        <v>17</v>
      </c>
      <c r="B25" s="163" t="s">
        <v>70</v>
      </c>
      <c r="C25" s="185" t="s">
        <v>59</v>
      </c>
      <c r="D25" s="186">
        <v>9</v>
      </c>
      <c r="E25" s="212"/>
      <c r="F25" s="213">
        <f>[1]МКД!$H$195</f>
        <v>60</v>
      </c>
      <c r="G25" s="168">
        <f t="shared" si="0"/>
        <v>693.80444</v>
      </c>
      <c r="H25" s="168">
        <v>231.38947999999999</v>
      </c>
      <c r="I25" s="169">
        <v>462.41496000000001</v>
      </c>
      <c r="J25" s="170">
        <f t="shared" si="1"/>
        <v>810.29345000000001</v>
      </c>
      <c r="K25" s="170">
        <v>294.29426999999998</v>
      </c>
      <c r="L25" s="195">
        <v>515.99918000000002</v>
      </c>
      <c r="M25" s="170">
        <f t="shared" si="2"/>
        <v>856.23572999999988</v>
      </c>
      <c r="N25" s="170">
        <v>313.65609999999998</v>
      </c>
      <c r="O25" s="170">
        <v>542.57962999999995</v>
      </c>
      <c r="P25" s="170">
        <f t="shared" si="3"/>
        <v>895.14400000000001</v>
      </c>
      <c r="Q25" s="189">
        <v>329.02</v>
      </c>
      <c r="R25" s="189">
        <v>566.12400000000002</v>
      </c>
      <c r="S25" s="109">
        <f t="shared" si="4"/>
        <v>913.96</v>
      </c>
      <c r="T25" s="191">
        <v>322.41000000000003</v>
      </c>
      <c r="U25" s="191">
        <v>591.54999999999995</v>
      </c>
      <c r="V25" s="109">
        <f t="shared" si="5"/>
        <v>945.96</v>
      </c>
      <c r="W25" s="191">
        <v>351</v>
      </c>
      <c r="X25" s="191">
        <v>594.96</v>
      </c>
      <c r="Y25" s="101">
        <f t="shared" si="6"/>
        <v>964</v>
      </c>
      <c r="Z25" s="118">
        <v>360.42</v>
      </c>
      <c r="AA25" s="118">
        <v>603.58000000000004</v>
      </c>
      <c r="AB25" s="101">
        <f t="shared" si="7"/>
        <v>978.07999999999993</v>
      </c>
      <c r="AC25" s="118">
        <v>362.57</v>
      </c>
      <c r="AD25" s="118">
        <v>615.51</v>
      </c>
      <c r="AE25" s="170">
        <f t="shared" si="8"/>
        <v>16.301333333333332</v>
      </c>
    </row>
    <row r="26" spans="1:40" s="131" customFormat="1" ht="15">
      <c r="A26" s="162">
        <f t="shared" si="9"/>
        <v>18</v>
      </c>
      <c r="B26" s="163" t="s">
        <v>70</v>
      </c>
      <c r="C26" s="185" t="s">
        <v>19</v>
      </c>
      <c r="D26" s="186">
        <v>41</v>
      </c>
      <c r="E26" s="186" t="s">
        <v>21</v>
      </c>
      <c r="F26" s="180">
        <f>[1]МКД!$H$207</f>
        <v>68</v>
      </c>
      <c r="G26" s="181">
        <f t="shared" si="0"/>
        <v>1019.96109</v>
      </c>
      <c r="H26" s="181">
        <v>295.25959999999998</v>
      </c>
      <c r="I26" s="182">
        <v>724.70149000000004</v>
      </c>
      <c r="J26" s="183">
        <f t="shared" si="1"/>
        <v>890.19236000000001</v>
      </c>
      <c r="K26" s="183">
        <v>285.53008999999997</v>
      </c>
      <c r="L26" s="184">
        <v>604.66227000000003</v>
      </c>
      <c r="M26" s="183">
        <f t="shared" si="2"/>
        <v>844.54862000000003</v>
      </c>
      <c r="N26" s="183">
        <v>304.77177</v>
      </c>
      <c r="O26" s="183">
        <v>539.77684999999997</v>
      </c>
      <c r="P26" s="183">
        <f t="shared" si="3"/>
        <v>877.13999999999987</v>
      </c>
      <c r="Q26" s="142">
        <v>331.96</v>
      </c>
      <c r="R26" s="142">
        <v>545.17999999999995</v>
      </c>
      <c r="S26" s="101">
        <f t="shared" si="4"/>
        <v>945.93000000000006</v>
      </c>
      <c r="T26" s="118">
        <v>300.67</v>
      </c>
      <c r="U26" s="118">
        <v>645.26</v>
      </c>
      <c r="V26" s="101">
        <f t="shared" si="5"/>
        <v>975.17000000000007</v>
      </c>
      <c r="W26" s="118">
        <v>270.22000000000003</v>
      </c>
      <c r="X26" s="118">
        <v>704.95</v>
      </c>
      <c r="Y26" s="101">
        <f t="shared" si="6"/>
        <v>1082.3</v>
      </c>
      <c r="Z26" s="118">
        <v>270.8</v>
      </c>
      <c r="AA26" s="118">
        <v>811.5</v>
      </c>
      <c r="AB26" s="101">
        <f t="shared" si="7"/>
        <v>1097.3399999999999</v>
      </c>
      <c r="AC26" s="118">
        <v>220.05</v>
      </c>
      <c r="AD26" s="118">
        <v>877.29</v>
      </c>
      <c r="AE26" s="170">
        <f t="shared" si="8"/>
        <v>16.13735294117647</v>
      </c>
    </row>
    <row r="27" spans="1:40" s="131" customFormat="1" ht="15">
      <c r="A27" s="162">
        <f t="shared" si="9"/>
        <v>19</v>
      </c>
      <c r="B27" s="163" t="s">
        <v>70</v>
      </c>
      <c r="C27" s="185" t="s">
        <v>55</v>
      </c>
      <c r="D27" s="186">
        <v>12</v>
      </c>
      <c r="E27" s="134"/>
      <c r="F27" s="211">
        <f>[1]МКД!$H$214</f>
        <v>12</v>
      </c>
      <c r="G27" s="181">
        <f t="shared" si="0"/>
        <v>110.48241</v>
      </c>
      <c r="H27" s="181">
        <v>60.992890000000003</v>
      </c>
      <c r="I27" s="182">
        <v>49.489519999999999</v>
      </c>
      <c r="J27" s="183">
        <f t="shared" si="1"/>
        <v>146.51812000000001</v>
      </c>
      <c r="K27" s="183">
        <v>77.484750000000005</v>
      </c>
      <c r="L27" s="184">
        <v>69.033370000000005</v>
      </c>
      <c r="M27" s="183">
        <f t="shared" si="2"/>
        <v>162.75540999999998</v>
      </c>
      <c r="N27" s="183">
        <v>84.359449999999995</v>
      </c>
      <c r="O27" s="183">
        <v>78.395960000000002</v>
      </c>
      <c r="P27" s="183">
        <f t="shared" si="3"/>
        <v>152.28</v>
      </c>
      <c r="Q27" s="142">
        <v>74.67</v>
      </c>
      <c r="R27" s="214">
        <v>77.61</v>
      </c>
      <c r="S27" s="101">
        <f t="shared" si="4"/>
        <v>165.506</v>
      </c>
      <c r="T27" s="118">
        <v>87.71</v>
      </c>
      <c r="U27" s="215">
        <v>77.796000000000006</v>
      </c>
      <c r="V27" s="101">
        <f t="shared" si="5"/>
        <v>165.25</v>
      </c>
      <c r="W27" s="118">
        <v>83.89</v>
      </c>
      <c r="X27" s="215">
        <v>81.36</v>
      </c>
      <c r="Y27" s="101">
        <f t="shared" si="6"/>
        <v>174.27</v>
      </c>
      <c r="Z27" s="118">
        <v>86.23</v>
      </c>
      <c r="AA27" s="215">
        <v>88.04</v>
      </c>
      <c r="AB27" s="101">
        <f t="shared" si="7"/>
        <v>184.41</v>
      </c>
      <c r="AC27" s="118">
        <v>95.63</v>
      </c>
      <c r="AD27" s="215">
        <v>88.78</v>
      </c>
      <c r="AE27" s="170">
        <f t="shared" si="8"/>
        <v>15.3675</v>
      </c>
    </row>
    <row r="28" spans="1:40" s="131" customFormat="1" ht="15">
      <c r="A28" s="162">
        <f t="shared" si="9"/>
        <v>20</v>
      </c>
      <c r="B28" s="163" t="s">
        <v>70</v>
      </c>
      <c r="C28" s="185" t="s">
        <v>55</v>
      </c>
      <c r="D28" s="186">
        <v>15</v>
      </c>
      <c r="E28" s="187"/>
      <c r="F28" s="180">
        <f>[1]МКД!$H$217</f>
        <v>48</v>
      </c>
      <c r="G28" s="181">
        <f t="shared" si="0"/>
        <v>661.48734999999999</v>
      </c>
      <c r="H28" s="181">
        <v>284.54367000000002</v>
      </c>
      <c r="I28" s="182">
        <v>376.94367999999997</v>
      </c>
      <c r="J28" s="183">
        <f t="shared" si="1"/>
        <v>704.09277999999995</v>
      </c>
      <c r="K28" s="183">
        <v>260.88902999999999</v>
      </c>
      <c r="L28" s="184">
        <v>443.20375000000001</v>
      </c>
      <c r="M28" s="183">
        <f t="shared" si="2"/>
        <v>739.49727000000007</v>
      </c>
      <c r="N28" s="183">
        <v>289.00576000000001</v>
      </c>
      <c r="O28" s="183">
        <v>450.49151000000001</v>
      </c>
      <c r="P28" s="183">
        <f t="shared" si="3"/>
        <v>747.9</v>
      </c>
      <c r="Q28" s="142">
        <v>284.56</v>
      </c>
      <c r="R28" s="142">
        <v>463.34</v>
      </c>
      <c r="S28" s="101">
        <f t="shared" si="4"/>
        <v>754.74</v>
      </c>
      <c r="T28" s="118">
        <v>260.61</v>
      </c>
      <c r="U28" s="118">
        <v>494.13</v>
      </c>
      <c r="V28" s="101">
        <f t="shared" si="5"/>
        <v>730.61</v>
      </c>
      <c r="W28" s="118">
        <v>256.36</v>
      </c>
      <c r="X28" s="118">
        <v>474.25</v>
      </c>
      <c r="Y28" s="101">
        <f t="shared" si="6"/>
        <v>753.14</v>
      </c>
      <c r="Z28" s="118">
        <v>275.64</v>
      </c>
      <c r="AA28" s="118">
        <v>477.5</v>
      </c>
      <c r="AB28" s="101">
        <f t="shared" si="7"/>
        <v>732.04</v>
      </c>
      <c r="AC28" s="118">
        <v>256.12</v>
      </c>
      <c r="AD28" s="118">
        <v>475.92</v>
      </c>
      <c r="AE28" s="170">
        <f t="shared" si="8"/>
        <v>15.250833333333333</v>
      </c>
    </row>
    <row r="29" spans="1:40" s="131" customFormat="1" ht="15">
      <c r="A29" s="162">
        <f t="shared" si="9"/>
        <v>21</v>
      </c>
      <c r="B29" s="163" t="s">
        <v>70</v>
      </c>
      <c r="C29" s="192" t="s">
        <v>72</v>
      </c>
      <c r="D29" s="216">
        <v>2</v>
      </c>
      <c r="E29" s="217"/>
      <c r="F29" s="180">
        <f>[1]МКД!$H$209</f>
        <v>169</v>
      </c>
      <c r="G29" s="181">
        <f t="shared" si="0"/>
        <v>2934.3228999999997</v>
      </c>
      <c r="H29" s="181">
        <v>554.18350999999996</v>
      </c>
      <c r="I29" s="182">
        <v>2380.1393899999998</v>
      </c>
      <c r="J29" s="183">
        <f t="shared" si="1"/>
        <v>2806.0260400000002</v>
      </c>
      <c r="K29" s="183">
        <v>1811.3063400000001</v>
      </c>
      <c r="L29" s="184">
        <v>994.71969999999999</v>
      </c>
      <c r="M29" s="183">
        <f t="shared" si="2"/>
        <v>2204.5998099999997</v>
      </c>
      <c r="N29" s="183">
        <v>826.05844000000002</v>
      </c>
      <c r="O29" s="183">
        <v>1378.5413699999999</v>
      </c>
      <c r="P29" s="183">
        <f t="shared" si="3"/>
        <v>2255.1999999999998</v>
      </c>
      <c r="Q29" s="142">
        <v>845.68</v>
      </c>
      <c r="R29" s="142">
        <v>1409.52</v>
      </c>
      <c r="S29" s="101">
        <f t="shared" si="4"/>
        <v>2380.3200000000002</v>
      </c>
      <c r="T29" s="118">
        <v>797.9</v>
      </c>
      <c r="U29" s="118">
        <v>1582.42</v>
      </c>
      <c r="V29" s="101">
        <f t="shared" si="5"/>
        <v>2494.0299999999997</v>
      </c>
      <c r="W29" s="118">
        <v>930.27</v>
      </c>
      <c r="X29" s="118">
        <v>1563.76</v>
      </c>
      <c r="Y29" s="101">
        <f t="shared" si="6"/>
        <v>2580.2200000000003</v>
      </c>
      <c r="Z29" s="118">
        <v>888.56</v>
      </c>
      <c r="AA29" s="118">
        <v>1691.66</v>
      </c>
      <c r="AB29" s="101">
        <f t="shared" si="7"/>
        <v>2443.2200000000003</v>
      </c>
      <c r="AC29" s="118">
        <v>589.53</v>
      </c>
      <c r="AD29" s="118">
        <v>1853.69</v>
      </c>
      <c r="AE29" s="170">
        <f t="shared" si="8"/>
        <v>14.456923076923079</v>
      </c>
      <c r="AF29" s="196"/>
      <c r="AG29" s="197"/>
      <c r="AH29" s="197"/>
      <c r="AI29" s="198"/>
      <c r="AJ29" s="198"/>
      <c r="AK29" s="198"/>
      <c r="AL29" s="199"/>
      <c r="AM29" s="199"/>
      <c r="AN29" s="199"/>
    </row>
    <row r="30" spans="1:40" s="131" customFormat="1" ht="15">
      <c r="A30" s="162">
        <f t="shared" si="9"/>
        <v>22</v>
      </c>
      <c r="B30" s="163" t="s">
        <v>70</v>
      </c>
      <c r="C30" s="185" t="s">
        <v>75</v>
      </c>
      <c r="D30" s="186">
        <v>32</v>
      </c>
      <c r="E30" s="186"/>
      <c r="F30" s="180">
        <f>[1]МКД!$H$222</f>
        <v>50</v>
      </c>
      <c r="G30" s="181">
        <f t="shared" si="0"/>
        <v>743.20330999999999</v>
      </c>
      <c r="H30" s="181">
        <v>327.9864</v>
      </c>
      <c r="I30" s="182">
        <v>415.21690999999998</v>
      </c>
      <c r="J30" s="183">
        <f t="shared" si="1"/>
        <v>762.60133999999994</v>
      </c>
      <c r="K30" s="183">
        <v>400.66910999999999</v>
      </c>
      <c r="L30" s="184">
        <v>361.93223</v>
      </c>
      <c r="M30" s="183">
        <f t="shared" si="2"/>
        <v>601.8717200000001</v>
      </c>
      <c r="N30" s="183">
        <v>262.35696000000002</v>
      </c>
      <c r="O30" s="183">
        <v>339.51476000000002</v>
      </c>
      <c r="P30" s="183">
        <f t="shared" si="3"/>
        <v>599.16</v>
      </c>
      <c r="Q30" s="142">
        <v>331.71</v>
      </c>
      <c r="R30" s="142">
        <v>267.45</v>
      </c>
      <c r="S30" s="101">
        <f t="shared" si="4"/>
        <v>737.63</v>
      </c>
      <c r="T30" s="118">
        <v>249.19</v>
      </c>
      <c r="U30" s="118">
        <v>488.44</v>
      </c>
      <c r="V30" s="101">
        <f t="shared" si="5"/>
        <v>730.19</v>
      </c>
      <c r="W30" s="118">
        <v>243.06</v>
      </c>
      <c r="X30" s="118">
        <v>487.13</v>
      </c>
      <c r="Y30" s="101">
        <f t="shared" si="6"/>
        <v>717.34</v>
      </c>
      <c r="Z30" s="118">
        <v>224.05</v>
      </c>
      <c r="AA30" s="118">
        <v>493.29</v>
      </c>
      <c r="AB30" s="101">
        <f t="shared" si="7"/>
        <v>703.93999999999994</v>
      </c>
      <c r="AC30" s="118">
        <v>223.54</v>
      </c>
      <c r="AD30" s="118">
        <v>480.4</v>
      </c>
      <c r="AE30" s="170">
        <f t="shared" si="8"/>
        <v>14.078799999999999</v>
      </c>
      <c r="AF30" s="203"/>
      <c r="AG30" s="203"/>
      <c r="AH30" s="203"/>
      <c r="AI30" s="198"/>
      <c r="AJ30" s="198"/>
      <c r="AK30" s="198"/>
      <c r="AL30" s="199"/>
      <c r="AM30" s="199"/>
      <c r="AN30" s="175"/>
    </row>
    <row r="31" spans="1:40" s="131" customFormat="1" ht="15">
      <c r="A31" s="162">
        <f t="shared" si="9"/>
        <v>23</v>
      </c>
      <c r="B31" s="163" t="s">
        <v>70</v>
      </c>
      <c r="C31" s="185" t="s">
        <v>76</v>
      </c>
      <c r="D31" s="186">
        <v>3</v>
      </c>
      <c r="E31" s="218" t="s">
        <v>20</v>
      </c>
      <c r="F31" s="180">
        <f>[1]МКД!$H$223</f>
        <v>47</v>
      </c>
      <c r="G31" s="181">
        <f t="shared" si="0"/>
        <v>585.23658999999998</v>
      </c>
      <c r="H31" s="181">
        <v>342.26871</v>
      </c>
      <c r="I31" s="182">
        <v>242.96788000000001</v>
      </c>
      <c r="J31" s="183">
        <f t="shared" si="1"/>
        <v>756.90933999999993</v>
      </c>
      <c r="K31" s="183">
        <v>462.18835999999999</v>
      </c>
      <c r="L31" s="184">
        <v>294.72098</v>
      </c>
      <c r="M31" s="183">
        <f t="shared" si="2"/>
        <v>494.48128999999994</v>
      </c>
      <c r="N31" s="183">
        <v>312.61631999999997</v>
      </c>
      <c r="O31" s="183">
        <v>181.86497</v>
      </c>
      <c r="P31" s="183">
        <f t="shared" si="3"/>
        <v>864.44</v>
      </c>
      <c r="Q31" s="142">
        <v>515.95000000000005</v>
      </c>
      <c r="R31" s="142">
        <v>348.49</v>
      </c>
      <c r="S31" s="101">
        <f t="shared" si="4"/>
        <v>840.54</v>
      </c>
      <c r="T31" s="118">
        <v>498.08</v>
      </c>
      <c r="U31" s="118">
        <v>342.46</v>
      </c>
      <c r="V31" s="101">
        <f t="shared" si="5"/>
        <v>845.74</v>
      </c>
      <c r="W31" s="118">
        <v>513.9</v>
      </c>
      <c r="X31" s="118">
        <v>331.84</v>
      </c>
      <c r="Y31" s="101">
        <f t="shared" si="6"/>
        <v>855.3</v>
      </c>
      <c r="Z31" s="118">
        <v>512.96</v>
      </c>
      <c r="AA31" s="118">
        <v>342.34</v>
      </c>
      <c r="AB31" s="101">
        <f t="shared" si="7"/>
        <v>650.24</v>
      </c>
      <c r="AC31" s="118">
        <v>410.3</v>
      </c>
      <c r="AD31" s="118">
        <v>239.94</v>
      </c>
      <c r="AE31" s="170">
        <f t="shared" si="8"/>
        <v>13.834893617021276</v>
      </c>
      <c r="AF31" s="203"/>
      <c r="AG31" s="203"/>
      <c r="AH31" s="203"/>
      <c r="AI31" s="198"/>
      <c r="AJ31" s="198"/>
      <c r="AK31" s="198"/>
      <c r="AL31" s="199"/>
      <c r="AM31" s="199"/>
      <c r="AN31" s="175"/>
    </row>
    <row r="32" spans="1:40" s="131" customFormat="1" ht="15">
      <c r="A32" s="162">
        <f t="shared" si="9"/>
        <v>24</v>
      </c>
      <c r="B32" s="163" t="s">
        <v>70</v>
      </c>
      <c r="C32" s="192" t="s">
        <v>36</v>
      </c>
      <c r="D32" s="219">
        <v>29</v>
      </c>
      <c r="E32" s="186" t="s">
        <v>21</v>
      </c>
      <c r="F32" s="188">
        <f>[1]МКД!$H$203</f>
        <v>126</v>
      </c>
      <c r="G32" s="168">
        <f t="shared" si="0"/>
        <v>1801.2815000000001</v>
      </c>
      <c r="H32" s="168">
        <v>680.05530999999996</v>
      </c>
      <c r="I32" s="169">
        <v>1121.2261900000001</v>
      </c>
      <c r="J32" s="170">
        <f t="shared" si="1"/>
        <v>2551.3580400000001</v>
      </c>
      <c r="K32" s="170">
        <v>1780.0354500000001</v>
      </c>
      <c r="L32" s="195">
        <v>771.32258999999999</v>
      </c>
      <c r="M32" s="170">
        <f t="shared" si="2"/>
        <v>1977.1246100000001</v>
      </c>
      <c r="N32" s="170">
        <v>819.46812</v>
      </c>
      <c r="O32" s="170">
        <v>1157.6564900000001</v>
      </c>
      <c r="P32" s="170">
        <f t="shared" si="3"/>
        <v>2026.79</v>
      </c>
      <c r="Q32" s="189">
        <v>870.39</v>
      </c>
      <c r="R32" s="189">
        <v>1156.4000000000001</v>
      </c>
      <c r="S32" s="109">
        <f t="shared" si="4"/>
        <v>2149.16</v>
      </c>
      <c r="T32" s="191">
        <v>855.15</v>
      </c>
      <c r="U32" s="191">
        <v>1294.01</v>
      </c>
      <c r="V32" s="109">
        <f t="shared" si="5"/>
        <v>2161.73</v>
      </c>
      <c r="W32" s="191">
        <v>879.19</v>
      </c>
      <c r="X32" s="191">
        <v>1282.54</v>
      </c>
      <c r="Y32" s="101">
        <f t="shared" si="6"/>
        <v>1707.57</v>
      </c>
      <c r="Z32" s="118">
        <v>709.81</v>
      </c>
      <c r="AA32" s="118">
        <v>997.76</v>
      </c>
      <c r="AB32" s="101">
        <f t="shared" si="7"/>
        <v>1666.13</v>
      </c>
      <c r="AC32" s="118">
        <v>300.10000000000002</v>
      </c>
      <c r="AD32" s="118">
        <v>1366.03</v>
      </c>
      <c r="AE32" s="170">
        <f t="shared" si="8"/>
        <v>13.223253968253969</v>
      </c>
      <c r="AF32" s="203"/>
      <c r="AG32" s="203"/>
      <c r="AH32" s="203"/>
      <c r="AI32" s="198"/>
      <c r="AJ32" s="198"/>
      <c r="AK32" s="198"/>
      <c r="AL32" s="199"/>
      <c r="AM32" s="199"/>
      <c r="AN32" s="175"/>
    </row>
    <row r="33" spans="1:40" s="131" customFormat="1" ht="15">
      <c r="A33" s="162">
        <f t="shared" si="9"/>
        <v>25</v>
      </c>
      <c r="B33" s="163" t="s">
        <v>70</v>
      </c>
      <c r="C33" s="192" t="s">
        <v>36</v>
      </c>
      <c r="D33" s="219">
        <v>23</v>
      </c>
      <c r="E33" s="194" t="s">
        <v>20</v>
      </c>
      <c r="F33" s="209">
        <f>[1]МКД!$H$198</f>
        <v>109</v>
      </c>
      <c r="G33" s="168">
        <f t="shared" si="0"/>
        <v>5929.7208599999994</v>
      </c>
      <c r="H33" s="168">
        <v>4939.3868199999997</v>
      </c>
      <c r="I33" s="169">
        <v>990.33403999999996</v>
      </c>
      <c r="J33" s="170">
        <f t="shared" si="1"/>
        <v>1275.37336</v>
      </c>
      <c r="K33" s="170">
        <v>698.36404000000005</v>
      </c>
      <c r="L33" s="195">
        <v>577.00932</v>
      </c>
      <c r="M33" s="170">
        <f t="shared" si="2"/>
        <v>1422.60104</v>
      </c>
      <c r="N33" s="170">
        <v>795.44149000000004</v>
      </c>
      <c r="O33" s="170">
        <v>627.15954999999997</v>
      </c>
      <c r="P33" s="170">
        <f t="shared" si="3"/>
        <v>1432.86</v>
      </c>
      <c r="Q33" s="140">
        <v>816.68</v>
      </c>
      <c r="R33" s="140">
        <v>616.17999999999995</v>
      </c>
      <c r="S33" s="109">
        <f t="shared" si="4"/>
        <v>1494.8899999999999</v>
      </c>
      <c r="T33" s="141">
        <v>811.59</v>
      </c>
      <c r="U33" s="141">
        <v>683.3</v>
      </c>
      <c r="V33" s="109">
        <f t="shared" si="5"/>
        <v>1373.1</v>
      </c>
      <c r="W33" s="141">
        <v>742.68</v>
      </c>
      <c r="X33" s="141">
        <v>630.41999999999996</v>
      </c>
      <c r="Y33" s="101">
        <f t="shared" si="6"/>
        <v>1424.21</v>
      </c>
      <c r="Z33" s="137">
        <v>797.25</v>
      </c>
      <c r="AA33" s="137">
        <v>626.96</v>
      </c>
      <c r="AB33" s="101">
        <f t="shared" si="7"/>
        <v>1427.83</v>
      </c>
      <c r="AC33" s="137">
        <v>785.54</v>
      </c>
      <c r="AD33" s="137">
        <v>642.29</v>
      </c>
      <c r="AE33" s="170">
        <f t="shared" si="8"/>
        <v>13.099357798165137</v>
      </c>
      <c r="AF33" s="206"/>
      <c r="AG33" s="206"/>
      <c r="AH33" s="206"/>
      <c r="AI33" s="207"/>
      <c r="AJ33" s="206"/>
      <c r="AK33" s="206"/>
      <c r="AL33" s="206"/>
      <c r="AM33" s="206"/>
      <c r="AN33" s="206"/>
    </row>
    <row r="34" spans="1:40" s="131" customFormat="1" ht="15">
      <c r="A34" s="162">
        <f t="shared" si="9"/>
        <v>26</v>
      </c>
      <c r="B34" s="163" t="s">
        <v>70</v>
      </c>
      <c r="C34" s="185" t="s">
        <v>59</v>
      </c>
      <c r="D34" s="186">
        <v>8</v>
      </c>
      <c r="E34" s="187"/>
      <c r="F34" s="188">
        <f>[1]МКД!$H$264</f>
        <v>15</v>
      </c>
      <c r="G34" s="168">
        <f t="shared" si="0"/>
        <v>74.902140000000003</v>
      </c>
      <c r="H34" s="168">
        <v>27.60998</v>
      </c>
      <c r="I34" s="169">
        <v>47.292160000000003</v>
      </c>
      <c r="J34" s="170">
        <f t="shared" si="1"/>
        <v>109.96453</v>
      </c>
      <c r="K34" s="170">
        <v>37.976080000000003</v>
      </c>
      <c r="L34" s="195">
        <v>71.98845</v>
      </c>
      <c r="M34" s="170">
        <f t="shared" si="2"/>
        <v>117.87553</v>
      </c>
      <c r="N34" s="170">
        <v>47.093110000000003</v>
      </c>
      <c r="O34" s="170">
        <v>70.782420000000002</v>
      </c>
      <c r="P34" s="170">
        <f t="shared" si="3"/>
        <v>128.07999999999998</v>
      </c>
      <c r="Q34" s="189">
        <v>65.97</v>
      </c>
      <c r="R34" s="189">
        <v>62.11</v>
      </c>
      <c r="S34" s="109">
        <f t="shared" si="4"/>
        <v>198.94</v>
      </c>
      <c r="T34" s="191">
        <v>69.39</v>
      </c>
      <c r="U34" s="191">
        <v>129.55000000000001</v>
      </c>
      <c r="V34" s="109">
        <f t="shared" si="5"/>
        <v>195.39999999999998</v>
      </c>
      <c r="W34" s="191">
        <v>63.7</v>
      </c>
      <c r="X34" s="191">
        <v>131.69999999999999</v>
      </c>
      <c r="Y34" s="101">
        <f t="shared" si="6"/>
        <v>213.75</v>
      </c>
      <c r="Z34" s="118">
        <v>69.11</v>
      </c>
      <c r="AA34" s="118">
        <v>144.63999999999999</v>
      </c>
      <c r="AB34" s="101">
        <f t="shared" si="7"/>
        <v>190.59</v>
      </c>
      <c r="AC34" s="118">
        <v>73.33</v>
      </c>
      <c r="AD34" s="118">
        <v>117.26</v>
      </c>
      <c r="AE34" s="170">
        <f t="shared" si="8"/>
        <v>12.706</v>
      </c>
    </row>
    <row r="35" spans="1:40" s="131" customFormat="1" ht="15">
      <c r="A35" s="162">
        <f t="shared" si="9"/>
        <v>27</v>
      </c>
      <c r="B35" s="163" t="s">
        <v>70</v>
      </c>
      <c r="C35" s="192" t="s">
        <v>36</v>
      </c>
      <c r="D35" s="193">
        <v>29</v>
      </c>
      <c r="E35" s="134"/>
      <c r="F35" s="188">
        <f>[1]МКД!$H$202</f>
        <v>116</v>
      </c>
      <c r="G35" s="168">
        <f t="shared" si="0"/>
        <v>1489.8809999999999</v>
      </c>
      <c r="H35" s="168">
        <v>656.03612999999996</v>
      </c>
      <c r="I35" s="169">
        <v>833.84487000000001</v>
      </c>
      <c r="J35" s="170">
        <f t="shared" si="1"/>
        <v>2630.0987599999999</v>
      </c>
      <c r="K35" s="170">
        <v>1830.37032</v>
      </c>
      <c r="L35" s="195">
        <v>799.72843999999998</v>
      </c>
      <c r="M35" s="170">
        <f t="shared" si="2"/>
        <v>1542.3523799999998</v>
      </c>
      <c r="N35" s="170">
        <v>828.25888999999995</v>
      </c>
      <c r="O35" s="170">
        <v>714.09348999999997</v>
      </c>
      <c r="P35" s="170">
        <f t="shared" si="3"/>
        <v>1559.69</v>
      </c>
      <c r="Q35" s="189">
        <v>828.53</v>
      </c>
      <c r="R35" s="189">
        <v>731.16</v>
      </c>
      <c r="S35" s="109">
        <f t="shared" si="4"/>
        <v>1669.38</v>
      </c>
      <c r="T35" s="191">
        <v>823.06</v>
      </c>
      <c r="U35" s="191">
        <v>846.32</v>
      </c>
      <c r="V35" s="109">
        <f t="shared" si="5"/>
        <v>1506.47</v>
      </c>
      <c r="W35" s="191">
        <v>813.23</v>
      </c>
      <c r="X35" s="191">
        <v>693.24</v>
      </c>
      <c r="Y35" s="101">
        <f t="shared" si="6"/>
        <v>1510.72</v>
      </c>
      <c r="Z35" s="118">
        <v>776.63</v>
      </c>
      <c r="AA35" s="118">
        <v>734.09</v>
      </c>
      <c r="AB35" s="101">
        <f t="shared" si="7"/>
        <v>1442.48</v>
      </c>
      <c r="AC35" s="118">
        <v>619.66999999999996</v>
      </c>
      <c r="AD35" s="118">
        <v>822.81</v>
      </c>
      <c r="AE35" s="170">
        <f t="shared" si="8"/>
        <v>12.435172413793104</v>
      </c>
    </row>
    <row r="36" spans="1:40" s="131" customFormat="1" ht="15">
      <c r="A36" s="162">
        <f t="shared" si="9"/>
        <v>28</v>
      </c>
      <c r="B36" s="163" t="s">
        <v>70</v>
      </c>
      <c r="C36" s="185" t="s">
        <v>74</v>
      </c>
      <c r="D36" s="186">
        <v>4</v>
      </c>
      <c r="E36" s="187"/>
      <c r="F36" s="180">
        <f>[1]МКД!$H$221</f>
        <v>18</v>
      </c>
      <c r="G36" s="181">
        <f t="shared" si="0"/>
        <v>210.76316</v>
      </c>
      <c r="H36" s="181">
        <v>62.287179999999999</v>
      </c>
      <c r="I36" s="182">
        <v>148.47597999999999</v>
      </c>
      <c r="J36" s="183">
        <f t="shared" si="1"/>
        <v>196.70614</v>
      </c>
      <c r="K36" s="183">
        <v>70.195920000000001</v>
      </c>
      <c r="L36" s="184">
        <v>126.51022</v>
      </c>
      <c r="M36" s="183">
        <f t="shared" si="2"/>
        <v>168.76548</v>
      </c>
      <c r="N36" s="183">
        <v>79.389529999999993</v>
      </c>
      <c r="O36" s="183">
        <v>89.375950000000003</v>
      </c>
      <c r="P36" s="183">
        <f t="shared" si="3"/>
        <v>167.51</v>
      </c>
      <c r="Q36" s="142">
        <v>82.94</v>
      </c>
      <c r="R36" s="142">
        <v>84.57</v>
      </c>
      <c r="S36" s="101">
        <f t="shared" si="4"/>
        <v>248.18</v>
      </c>
      <c r="T36" s="118">
        <v>86.36</v>
      </c>
      <c r="U36" s="118">
        <v>161.82</v>
      </c>
      <c r="V36" s="101">
        <f t="shared" si="5"/>
        <v>214.33999999999997</v>
      </c>
      <c r="W36" s="118">
        <v>77.989999999999995</v>
      </c>
      <c r="X36" s="118">
        <v>136.35</v>
      </c>
      <c r="Y36" s="101">
        <f t="shared" si="6"/>
        <v>231.22</v>
      </c>
      <c r="Z36" s="118">
        <v>80.31</v>
      </c>
      <c r="AA36" s="118">
        <v>150.91</v>
      </c>
      <c r="AB36" s="101">
        <f t="shared" si="7"/>
        <v>213.85999999999999</v>
      </c>
      <c r="AC36" s="118">
        <v>69.72</v>
      </c>
      <c r="AD36" s="118">
        <v>144.13999999999999</v>
      </c>
      <c r="AE36" s="170">
        <f t="shared" si="8"/>
        <v>11.88111111111111</v>
      </c>
    </row>
    <row r="37" spans="1:40" s="131" customFormat="1" ht="15">
      <c r="A37" s="162">
        <f t="shared" si="9"/>
        <v>29</v>
      </c>
      <c r="B37" s="163" t="s">
        <v>70</v>
      </c>
      <c r="C37" s="192" t="s">
        <v>71</v>
      </c>
      <c r="D37" s="210">
        <v>3</v>
      </c>
      <c r="E37" s="210" t="s">
        <v>20</v>
      </c>
      <c r="F37" s="188">
        <f>[1]МКД!$H$193</f>
        <v>36</v>
      </c>
      <c r="G37" s="168">
        <f t="shared" si="0"/>
        <v>460.46573999999998</v>
      </c>
      <c r="H37" s="168">
        <v>242.46402</v>
      </c>
      <c r="I37" s="169">
        <v>218.00172000000001</v>
      </c>
      <c r="J37" s="170">
        <f t="shared" si="1"/>
        <v>337.30722000000003</v>
      </c>
      <c r="K37" s="170">
        <v>149.58561</v>
      </c>
      <c r="L37" s="195">
        <v>187.72161</v>
      </c>
      <c r="M37" s="170">
        <f t="shared" si="2"/>
        <v>356.18629999999996</v>
      </c>
      <c r="N37" s="170">
        <v>190.75903</v>
      </c>
      <c r="O37" s="170">
        <v>165.42726999999999</v>
      </c>
      <c r="P37" s="170">
        <f t="shared" si="3"/>
        <v>362.6</v>
      </c>
      <c r="Q37" s="189">
        <v>210.28</v>
      </c>
      <c r="R37" s="189">
        <v>152.32</v>
      </c>
      <c r="S37" s="109">
        <f t="shared" si="4"/>
        <v>395.65999999999997</v>
      </c>
      <c r="T37" s="191">
        <v>207.78</v>
      </c>
      <c r="U37" s="191">
        <v>187.88</v>
      </c>
      <c r="V37" s="109">
        <f t="shared" si="5"/>
        <v>379.5</v>
      </c>
      <c r="W37" s="191">
        <v>195.2</v>
      </c>
      <c r="X37" s="191">
        <v>184.3</v>
      </c>
      <c r="Y37" s="101">
        <f t="shared" si="6"/>
        <v>355.67099999999999</v>
      </c>
      <c r="Z37" s="118">
        <v>230.02099999999999</v>
      </c>
      <c r="AA37" s="118">
        <v>125.65</v>
      </c>
      <c r="AB37" s="101">
        <f t="shared" si="7"/>
        <v>404.84000000000003</v>
      </c>
      <c r="AC37" s="118">
        <v>203.65</v>
      </c>
      <c r="AD37" s="118">
        <v>201.19</v>
      </c>
      <c r="AE37" s="170">
        <f t="shared" si="8"/>
        <v>11.245555555555557</v>
      </c>
    </row>
    <row r="38" spans="1:40" s="131" customFormat="1" ht="15">
      <c r="A38" s="162">
        <f t="shared" si="9"/>
        <v>30</v>
      </c>
      <c r="B38" s="163" t="s">
        <v>70</v>
      </c>
      <c r="C38" s="185" t="s">
        <v>55</v>
      </c>
      <c r="D38" s="186">
        <v>12</v>
      </c>
      <c r="E38" s="186" t="s">
        <v>20</v>
      </c>
      <c r="F38" s="211">
        <f>[1]МКД!$H$215</f>
        <v>12</v>
      </c>
      <c r="G38" s="181">
        <f t="shared" si="0"/>
        <v>94.109679999999997</v>
      </c>
      <c r="H38" s="181">
        <v>56.30095</v>
      </c>
      <c r="I38" s="182">
        <v>37.808729999999997</v>
      </c>
      <c r="J38" s="183">
        <f t="shared" si="1"/>
        <v>70.656049999999993</v>
      </c>
      <c r="K38" s="183">
        <v>43.991779999999999</v>
      </c>
      <c r="L38" s="184">
        <v>26.664269999999998</v>
      </c>
      <c r="M38" s="183">
        <f t="shared" si="2"/>
        <v>87.2029</v>
      </c>
      <c r="N38" s="183">
        <v>52.693719999999999</v>
      </c>
      <c r="O38" s="183">
        <v>34.509180000000001</v>
      </c>
      <c r="P38" s="183">
        <f t="shared" si="3"/>
        <v>104.96000000000001</v>
      </c>
      <c r="Q38" s="142">
        <v>58.39</v>
      </c>
      <c r="R38" s="142">
        <v>46.57</v>
      </c>
      <c r="S38" s="101">
        <f t="shared" si="4"/>
        <v>78.13</v>
      </c>
      <c r="T38" s="118">
        <v>49.8</v>
      </c>
      <c r="U38" s="118">
        <v>28.33</v>
      </c>
      <c r="V38" s="101">
        <f t="shared" si="5"/>
        <v>81.100000000000009</v>
      </c>
      <c r="W38" s="118">
        <v>52.09</v>
      </c>
      <c r="X38" s="118">
        <v>29.01</v>
      </c>
      <c r="Y38" s="101">
        <f t="shared" si="6"/>
        <v>80.41</v>
      </c>
      <c r="Z38" s="118">
        <v>50.58</v>
      </c>
      <c r="AA38" s="118">
        <v>29.83</v>
      </c>
      <c r="AB38" s="101">
        <f t="shared" si="7"/>
        <v>85.42</v>
      </c>
      <c r="AC38" s="118">
        <v>54.07</v>
      </c>
      <c r="AD38" s="118">
        <v>31.35</v>
      </c>
      <c r="AE38" s="170">
        <f t="shared" si="8"/>
        <v>7.1183333333333332</v>
      </c>
    </row>
    <row r="39" spans="1:40" s="131" customFormat="1" ht="15">
      <c r="A39" s="162">
        <f t="shared" si="9"/>
        <v>31</v>
      </c>
      <c r="B39" s="163" t="s">
        <v>70</v>
      </c>
      <c r="C39" s="185" t="s">
        <v>55</v>
      </c>
      <c r="D39" s="186">
        <v>13</v>
      </c>
      <c r="E39" s="186"/>
      <c r="F39" s="220">
        <f>[1]МКД!$H$216</f>
        <v>48</v>
      </c>
      <c r="G39" s="181">
        <f t="shared" si="0"/>
        <v>336.75032999999996</v>
      </c>
      <c r="H39" s="181">
        <v>201.749</v>
      </c>
      <c r="I39" s="182">
        <v>135.00133</v>
      </c>
      <c r="J39" s="183">
        <f t="shared" si="1"/>
        <v>415.07173999999998</v>
      </c>
      <c r="K39" s="183">
        <v>233.50790000000001</v>
      </c>
      <c r="L39" s="184">
        <v>181.56384</v>
      </c>
      <c r="M39" s="183">
        <f t="shared" si="2"/>
        <v>473.12011999999999</v>
      </c>
      <c r="N39" s="183">
        <v>250.70473999999999</v>
      </c>
      <c r="O39" s="183">
        <v>222.41538</v>
      </c>
      <c r="P39" s="183">
        <f t="shared" si="3"/>
        <v>517.37</v>
      </c>
      <c r="Q39" s="142">
        <v>288.33999999999997</v>
      </c>
      <c r="R39" s="142">
        <v>229.03</v>
      </c>
      <c r="S39" s="101">
        <f t="shared" si="4"/>
        <v>500.56</v>
      </c>
      <c r="T39" s="118">
        <v>284.2</v>
      </c>
      <c r="U39" s="118">
        <v>216.36</v>
      </c>
      <c r="V39" s="101">
        <f t="shared" si="5"/>
        <v>482.15999999999997</v>
      </c>
      <c r="W39" s="118">
        <v>258.20999999999998</v>
      </c>
      <c r="X39" s="118">
        <v>223.95</v>
      </c>
      <c r="Y39" s="101">
        <f t="shared" si="6"/>
        <v>465.81</v>
      </c>
      <c r="Z39" s="118">
        <v>272.95</v>
      </c>
      <c r="AA39" s="118">
        <v>192.86</v>
      </c>
      <c r="AB39" s="101">
        <f t="shared" si="7"/>
        <v>338.47</v>
      </c>
      <c r="AC39" s="118">
        <v>156.07</v>
      </c>
      <c r="AD39" s="118">
        <v>182.4</v>
      </c>
      <c r="AE39" s="170">
        <f t="shared" si="8"/>
        <v>7.0514583333333336</v>
      </c>
    </row>
    <row r="40" spans="1:40" s="131" customFormat="1" ht="15">
      <c r="A40" s="162">
        <f t="shared" si="9"/>
        <v>32</v>
      </c>
      <c r="B40" s="163" t="s">
        <v>70</v>
      </c>
      <c r="C40" s="192" t="s">
        <v>33</v>
      </c>
      <c r="D40" s="210">
        <v>6</v>
      </c>
      <c r="E40" s="210" t="s">
        <v>21</v>
      </c>
      <c r="F40" s="180">
        <f>[1]МКД!$H$225</f>
        <v>183</v>
      </c>
      <c r="G40" s="181">
        <f t="shared" si="0"/>
        <v>978.20379000000003</v>
      </c>
      <c r="H40" s="181">
        <v>593.08010000000002</v>
      </c>
      <c r="I40" s="182">
        <v>385.12369000000001</v>
      </c>
      <c r="J40" s="183">
        <f t="shared" si="1"/>
        <v>2105.3342199999997</v>
      </c>
      <c r="K40" s="183">
        <v>1629.54234</v>
      </c>
      <c r="L40" s="184">
        <v>475.79187999999999</v>
      </c>
      <c r="M40" s="183">
        <f t="shared" si="2"/>
        <v>1257.6069600000001</v>
      </c>
      <c r="N40" s="183">
        <v>739.67899</v>
      </c>
      <c r="O40" s="183">
        <v>517.92796999999996</v>
      </c>
      <c r="P40" s="183">
        <f t="shared" si="3"/>
        <v>1295.95</v>
      </c>
      <c r="Q40" s="142">
        <v>807.46</v>
      </c>
      <c r="R40" s="142">
        <v>488.49</v>
      </c>
      <c r="S40" s="101">
        <f t="shared" si="4"/>
        <v>1294.6999999999998</v>
      </c>
      <c r="T40" s="118">
        <v>725.42</v>
      </c>
      <c r="U40" s="118">
        <v>569.28</v>
      </c>
      <c r="V40" s="101">
        <f t="shared" si="5"/>
        <v>1142.48</v>
      </c>
      <c r="W40" s="118">
        <v>645.22</v>
      </c>
      <c r="X40" s="118">
        <v>497.26</v>
      </c>
      <c r="Y40" s="101">
        <f t="shared" si="6"/>
        <v>1141.72</v>
      </c>
      <c r="Z40" s="118">
        <v>734.57</v>
      </c>
      <c r="AA40" s="118">
        <v>407.15</v>
      </c>
      <c r="AB40" s="101">
        <f t="shared" si="7"/>
        <v>990.33</v>
      </c>
      <c r="AC40" s="118">
        <v>523.83000000000004</v>
      </c>
      <c r="AD40" s="118">
        <v>466.5</v>
      </c>
      <c r="AE40" s="170">
        <f t="shared" si="8"/>
        <v>5.4116393442622952</v>
      </c>
    </row>
    <row r="41" spans="1:40" s="131" customFormat="1" ht="15">
      <c r="A41" s="162">
        <f t="shared" si="9"/>
        <v>33</v>
      </c>
      <c r="B41" s="163" t="s">
        <v>70</v>
      </c>
      <c r="C41" s="192" t="s">
        <v>33</v>
      </c>
      <c r="D41" s="210">
        <v>6</v>
      </c>
      <c r="E41" s="210" t="s">
        <v>20</v>
      </c>
      <c r="F41" s="180">
        <f>[1]МКД!$H$224</f>
        <v>76</v>
      </c>
      <c r="G41" s="181">
        <f t="shared" si="0"/>
        <v>353.75252</v>
      </c>
      <c r="H41" s="181">
        <v>160.38820999999999</v>
      </c>
      <c r="I41" s="182">
        <v>193.36430999999999</v>
      </c>
      <c r="J41" s="183">
        <f t="shared" si="1"/>
        <v>374.97404</v>
      </c>
      <c r="K41" s="183">
        <v>180.31874999999999</v>
      </c>
      <c r="L41" s="184">
        <v>194.65529000000001</v>
      </c>
      <c r="M41" s="183">
        <f t="shared" si="2"/>
        <v>311.92993999999999</v>
      </c>
      <c r="N41" s="183">
        <v>211.99485000000001</v>
      </c>
      <c r="O41" s="183">
        <v>99.935090000000002</v>
      </c>
      <c r="P41" s="183">
        <f t="shared" si="3"/>
        <v>351.46000000000004</v>
      </c>
      <c r="Q41" s="142">
        <v>219.44</v>
      </c>
      <c r="R41" s="142">
        <v>132.02000000000001</v>
      </c>
      <c r="S41" s="101">
        <f t="shared" si="4"/>
        <v>338.6</v>
      </c>
      <c r="T41" s="118">
        <v>197.51</v>
      </c>
      <c r="U41" s="118">
        <v>141.09</v>
      </c>
      <c r="V41" s="101">
        <f t="shared" si="5"/>
        <v>320.25</v>
      </c>
      <c r="W41" s="118">
        <v>216.77</v>
      </c>
      <c r="X41" s="118">
        <v>103.48</v>
      </c>
      <c r="Y41" s="101">
        <f t="shared" si="6"/>
        <v>320.05</v>
      </c>
      <c r="Z41" s="118">
        <v>226.78</v>
      </c>
      <c r="AA41" s="118">
        <v>93.27</v>
      </c>
      <c r="AB41" s="101">
        <f t="shared" si="7"/>
        <v>305.64999999999998</v>
      </c>
      <c r="AC41" s="118">
        <v>176.03</v>
      </c>
      <c r="AD41" s="118">
        <v>129.62</v>
      </c>
      <c r="AE41" s="170">
        <f t="shared" si="8"/>
        <v>4.0217105263157888</v>
      </c>
    </row>
    <row r="42" spans="1:40" s="131" customFormat="1" ht="15">
      <c r="A42" s="162">
        <f t="shared" si="9"/>
        <v>34</v>
      </c>
      <c r="B42" s="163" t="s">
        <v>70</v>
      </c>
      <c r="C42" s="192" t="s">
        <v>73</v>
      </c>
      <c r="D42" s="193">
        <v>8</v>
      </c>
      <c r="E42" s="187"/>
      <c r="F42" s="180">
        <f>[1]МКД!$H$211</f>
        <v>12</v>
      </c>
      <c r="G42" s="181">
        <f t="shared" si="0"/>
        <v>29.05724</v>
      </c>
      <c r="H42" s="181">
        <v>15.38237</v>
      </c>
      <c r="I42" s="181">
        <v>13.67487</v>
      </c>
      <c r="J42" s="183">
        <f t="shared" si="1"/>
        <v>36.418799999999997</v>
      </c>
      <c r="K42" s="183">
        <v>17.800329999999999</v>
      </c>
      <c r="L42" s="183">
        <v>18.618469999999999</v>
      </c>
      <c r="M42" s="183">
        <f t="shared" si="2"/>
        <v>43.408349999999999</v>
      </c>
      <c r="N42" s="183">
        <v>19.933340000000001</v>
      </c>
      <c r="O42" s="183">
        <v>23.475010000000001</v>
      </c>
      <c r="P42" s="183">
        <f t="shared" si="3"/>
        <v>47.2</v>
      </c>
      <c r="Q42" s="142">
        <v>20.32</v>
      </c>
      <c r="R42" s="142">
        <v>26.88</v>
      </c>
      <c r="S42" s="101">
        <f t="shared" si="4"/>
        <v>36.89</v>
      </c>
      <c r="T42" s="118">
        <v>19.809999999999999</v>
      </c>
      <c r="U42" s="118">
        <v>17.079999999999998</v>
      </c>
      <c r="V42" s="101">
        <f t="shared" si="5"/>
        <v>33.906999999999996</v>
      </c>
      <c r="W42" s="118">
        <v>17.2</v>
      </c>
      <c r="X42" s="118">
        <v>16.707000000000001</v>
      </c>
      <c r="Y42" s="101">
        <f t="shared" si="6"/>
        <v>32.230000000000004</v>
      </c>
      <c r="Z42" s="118">
        <v>18.23</v>
      </c>
      <c r="AA42" s="118">
        <v>14</v>
      </c>
      <c r="AB42" s="101">
        <f t="shared" si="7"/>
        <v>28.009999999999998</v>
      </c>
      <c r="AC42" s="118">
        <v>11.17</v>
      </c>
      <c r="AD42" s="118">
        <v>16.84</v>
      </c>
      <c r="AE42" s="170">
        <f t="shared" si="8"/>
        <v>2.3341666666666665</v>
      </c>
    </row>
    <row r="43" spans="1:40" s="131" customFormat="1" ht="15">
      <c r="A43" s="162">
        <f t="shared" si="9"/>
        <v>35</v>
      </c>
      <c r="B43" s="163" t="s">
        <v>70</v>
      </c>
      <c r="C43" s="192" t="s">
        <v>72</v>
      </c>
      <c r="D43" s="193">
        <v>6</v>
      </c>
      <c r="E43" s="205"/>
      <c r="F43" s="180">
        <f>[1]МКД!$H$210</f>
        <v>133</v>
      </c>
      <c r="G43" s="181">
        <f t="shared" si="0"/>
        <v>1096.48225</v>
      </c>
      <c r="H43" s="181">
        <v>313.54820999999998</v>
      </c>
      <c r="I43" s="181">
        <v>782.93403999999998</v>
      </c>
      <c r="J43" s="183">
        <f t="shared" si="1"/>
        <v>770.63864999999998</v>
      </c>
      <c r="K43" s="183">
        <v>309.21037000000001</v>
      </c>
      <c r="L43" s="183">
        <v>461.42827999999997</v>
      </c>
      <c r="M43" s="183">
        <f t="shared" si="2"/>
        <v>762.11293999999998</v>
      </c>
      <c r="N43" s="183">
        <v>316.46021999999999</v>
      </c>
      <c r="O43" s="183">
        <v>445.65271999999999</v>
      </c>
      <c r="P43" s="183">
        <f t="shared" si="3"/>
        <v>757.31</v>
      </c>
      <c r="Q43" s="142">
        <v>324.33</v>
      </c>
      <c r="R43" s="142">
        <v>432.98</v>
      </c>
      <c r="S43" s="101">
        <f t="shared" si="4"/>
        <v>975.57999999999993</v>
      </c>
      <c r="T43" s="118">
        <v>351.56</v>
      </c>
      <c r="U43" s="118">
        <v>624.02</v>
      </c>
      <c r="V43" s="101">
        <f t="shared" si="5"/>
        <v>941.87999999999988</v>
      </c>
      <c r="W43" s="118">
        <v>368.08</v>
      </c>
      <c r="X43" s="118">
        <v>573.79999999999995</v>
      </c>
      <c r="Y43" s="101">
        <f t="shared" si="6"/>
        <v>985.09</v>
      </c>
      <c r="Z43" s="118">
        <v>321.23</v>
      </c>
      <c r="AA43" s="118">
        <v>663.86</v>
      </c>
      <c r="AB43" s="101">
        <f t="shared" si="7"/>
        <v>250.54</v>
      </c>
      <c r="AC43" s="118">
        <v>53.38</v>
      </c>
      <c r="AD43" s="118">
        <v>197.16</v>
      </c>
      <c r="AE43" s="170">
        <f t="shared" si="8"/>
        <v>1.8837593984962406</v>
      </c>
    </row>
    <row r="44" spans="1:40" s="146" customFormat="1" ht="15">
      <c r="A44" s="144"/>
      <c r="B44" s="144" t="s">
        <v>8</v>
      </c>
      <c r="C44" s="144"/>
      <c r="D44" s="144"/>
      <c r="E44" s="144"/>
      <c r="F44" s="221">
        <f>SUM(F9:F43)</f>
        <v>1996</v>
      </c>
      <c r="G44" s="221">
        <f t="shared" ref="G44:AD44" si="10">SUM(G9:G43)</f>
        <v>35372.513190000005</v>
      </c>
      <c r="H44" s="221">
        <f t="shared" si="10"/>
        <v>16823.231179999999</v>
      </c>
      <c r="I44" s="221">
        <f t="shared" si="10"/>
        <v>18549.282009999999</v>
      </c>
      <c r="J44" s="221">
        <f t="shared" si="10"/>
        <v>33321.406029999998</v>
      </c>
      <c r="K44" s="221">
        <f t="shared" si="10"/>
        <v>18528.161810000001</v>
      </c>
      <c r="L44" s="221">
        <f t="shared" si="10"/>
        <v>14793.244220000002</v>
      </c>
      <c r="M44" s="221">
        <f t="shared" si="10"/>
        <v>27479.537809999998</v>
      </c>
      <c r="N44" s="221">
        <f t="shared" si="10"/>
        <v>12295.707229999996</v>
      </c>
      <c r="O44" s="221">
        <f t="shared" si="10"/>
        <v>15183.83058</v>
      </c>
      <c r="P44" s="221">
        <f t="shared" si="10"/>
        <v>29921.523999999998</v>
      </c>
      <c r="Q44" s="221">
        <f t="shared" si="10"/>
        <v>13087.000000000004</v>
      </c>
      <c r="R44" s="221">
        <f t="shared" si="10"/>
        <v>16834.524000000001</v>
      </c>
      <c r="S44" s="221">
        <f t="shared" si="10"/>
        <v>31963.046000000002</v>
      </c>
      <c r="T44" s="221">
        <f t="shared" si="10"/>
        <v>12682.559999999998</v>
      </c>
      <c r="U44" s="221">
        <f t="shared" si="10"/>
        <v>19280.486000000001</v>
      </c>
      <c r="V44" s="221">
        <f t="shared" si="10"/>
        <v>31547.787</v>
      </c>
      <c r="W44" s="221">
        <f t="shared" si="10"/>
        <v>12626.810000000003</v>
      </c>
      <c r="X44" s="221">
        <f t="shared" si="10"/>
        <v>18920.976999999995</v>
      </c>
      <c r="Y44" s="221">
        <f t="shared" si="10"/>
        <v>31987.931</v>
      </c>
      <c r="Z44" s="221">
        <f t="shared" si="10"/>
        <v>12729.871000000001</v>
      </c>
      <c r="AA44" s="221">
        <f t="shared" si="10"/>
        <v>19258.060000000005</v>
      </c>
      <c r="AB44" s="221">
        <f>SUM(AB9:AB43)</f>
        <v>29840.370000000003</v>
      </c>
      <c r="AC44" s="221">
        <f t="shared" si="10"/>
        <v>10099.589999999998</v>
      </c>
      <c r="AD44" s="221">
        <f t="shared" si="10"/>
        <v>19740.78</v>
      </c>
      <c r="AE44" s="143"/>
    </row>
    <row r="45" spans="1:40" s="147" customFormat="1" ht="15" customHeight="1">
      <c r="A45" s="286" t="s">
        <v>123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8"/>
    </row>
    <row r="46" spans="1:40" s="131" customFormat="1" ht="12.75" customHeight="1">
      <c r="A46" s="162">
        <v>1</v>
      </c>
      <c r="B46" s="163" t="s">
        <v>70</v>
      </c>
      <c r="C46" s="192" t="s">
        <v>59</v>
      </c>
      <c r="D46" s="210">
        <v>3</v>
      </c>
      <c r="E46" s="222"/>
      <c r="F46" s="180">
        <v>24</v>
      </c>
      <c r="G46" s="181"/>
      <c r="H46" s="181"/>
      <c r="I46" s="181"/>
      <c r="J46" s="183"/>
      <c r="K46" s="183"/>
      <c r="L46" s="183"/>
      <c r="M46" s="183"/>
      <c r="N46" s="183"/>
      <c r="O46" s="183"/>
      <c r="P46" s="183"/>
      <c r="Q46" s="142"/>
      <c r="R46" s="142"/>
      <c r="S46" s="101">
        <f>T46+U46</f>
        <v>49.379999999999995</v>
      </c>
      <c r="T46" s="118">
        <v>23.8</v>
      </c>
      <c r="U46" s="118">
        <v>25.58</v>
      </c>
      <c r="V46" s="101">
        <f>W46+X46</f>
        <v>49.379999999999995</v>
      </c>
      <c r="W46" s="118">
        <v>23.8</v>
      </c>
      <c r="X46" s="118">
        <v>25.58</v>
      </c>
      <c r="Y46" s="101">
        <f>Z46+AA46</f>
        <v>49.39</v>
      </c>
      <c r="Z46" s="118">
        <v>23.81</v>
      </c>
      <c r="AA46" s="118">
        <v>25.58</v>
      </c>
      <c r="AB46" s="101">
        <f>AC46+AD46</f>
        <v>49.379999999999995</v>
      </c>
      <c r="AC46" s="118">
        <v>23.8</v>
      </c>
      <c r="AD46" s="118">
        <v>25.58</v>
      </c>
      <c r="AE46" s="183">
        <f>AB46/F46</f>
        <v>2.0574999999999997</v>
      </c>
    </row>
    <row r="47" spans="1:40" s="131" customFormat="1" ht="15">
      <c r="A47" s="162">
        <f t="shared" si="9"/>
        <v>2</v>
      </c>
      <c r="B47" s="163" t="s">
        <v>70</v>
      </c>
      <c r="C47" s="192" t="s">
        <v>36</v>
      </c>
      <c r="D47" s="210">
        <v>38</v>
      </c>
      <c r="E47" s="222"/>
      <c r="F47" s="180">
        <v>145</v>
      </c>
      <c r="G47" s="181"/>
      <c r="H47" s="181"/>
      <c r="I47" s="181"/>
      <c r="J47" s="183"/>
      <c r="K47" s="183"/>
      <c r="L47" s="183"/>
      <c r="M47" s="183"/>
      <c r="N47" s="183"/>
      <c r="O47" s="183"/>
      <c r="P47" s="183"/>
      <c r="Q47" s="142"/>
      <c r="R47" s="142"/>
      <c r="S47" s="101">
        <f>T47+U47</f>
        <v>521.34</v>
      </c>
      <c r="T47" s="118">
        <v>85.42</v>
      </c>
      <c r="U47" s="118">
        <v>435.92</v>
      </c>
      <c r="V47" s="101">
        <f>W47+X47</f>
        <v>521.34</v>
      </c>
      <c r="W47" s="118">
        <v>85.42</v>
      </c>
      <c r="X47" s="118">
        <v>435.92</v>
      </c>
      <c r="Y47" s="101">
        <f>Z47+AA47</f>
        <v>521.34</v>
      </c>
      <c r="Z47" s="118">
        <v>127.86</v>
      </c>
      <c r="AA47" s="118">
        <v>393.48</v>
      </c>
      <c r="AB47" s="101">
        <f>AC47+AD47</f>
        <v>521.34</v>
      </c>
      <c r="AC47" s="118">
        <v>85.42</v>
      </c>
      <c r="AD47" s="118">
        <v>435.92</v>
      </c>
      <c r="AE47" s="183">
        <f t="shared" ref="AE47:AE48" si="11">AB47/F47</f>
        <v>3.5954482758620694</v>
      </c>
    </row>
    <row r="48" spans="1:40" s="131" customFormat="1" ht="15">
      <c r="A48" s="162">
        <f t="shared" si="9"/>
        <v>3</v>
      </c>
      <c r="B48" s="163" t="s">
        <v>70</v>
      </c>
      <c r="C48" s="192" t="s">
        <v>72</v>
      </c>
      <c r="D48" s="210">
        <v>8</v>
      </c>
      <c r="E48" s="222"/>
      <c r="F48" s="180">
        <v>98</v>
      </c>
      <c r="G48" s="181"/>
      <c r="H48" s="181"/>
      <c r="I48" s="181"/>
      <c r="J48" s="183"/>
      <c r="K48" s="183"/>
      <c r="L48" s="183"/>
      <c r="M48" s="183"/>
      <c r="N48" s="183"/>
      <c r="O48" s="183"/>
      <c r="P48" s="183"/>
      <c r="Q48" s="142"/>
      <c r="R48" s="142"/>
      <c r="S48" s="101">
        <f>T48+U48</f>
        <v>456.33</v>
      </c>
      <c r="T48" s="118">
        <v>70.2</v>
      </c>
      <c r="U48" s="118">
        <v>386.13</v>
      </c>
      <c r="V48" s="101">
        <f>W48+X48</f>
        <v>455.58</v>
      </c>
      <c r="W48" s="118">
        <v>69.45</v>
      </c>
      <c r="X48" s="118">
        <v>386.13</v>
      </c>
      <c r="Y48" s="101">
        <f>Z48+AA48</f>
        <v>455.58</v>
      </c>
      <c r="Z48" s="118">
        <v>251.26</v>
      </c>
      <c r="AA48" s="118">
        <v>204.32</v>
      </c>
      <c r="AB48" s="101">
        <f>AC48+AD48</f>
        <v>441.18299999999999</v>
      </c>
      <c r="AC48" s="118">
        <v>55.052999999999997</v>
      </c>
      <c r="AD48" s="118">
        <v>386.13</v>
      </c>
      <c r="AE48" s="183">
        <f t="shared" si="11"/>
        <v>4.5018673469387753</v>
      </c>
    </row>
    <row r="49" spans="1:31" s="146" customFormat="1" ht="15">
      <c r="A49" s="144"/>
      <c r="B49" s="144" t="s">
        <v>8</v>
      </c>
      <c r="C49" s="144"/>
      <c r="D49" s="144"/>
      <c r="E49" s="144"/>
      <c r="F49" s="221">
        <f>SUM(F46:F48)</f>
        <v>267</v>
      </c>
      <c r="G49" s="221">
        <f t="shared" ref="G49:Z49" si="12">SUM(G46:G48)</f>
        <v>0</v>
      </c>
      <c r="H49" s="221">
        <f t="shared" si="12"/>
        <v>0</v>
      </c>
      <c r="I49" s="221">
        <f t="shared" si="12"/>
        <v>0</v>
      </c>
      <c r="J49" s="221">
        <f t="shared" si="12"/>
        <v>0</v>
      </c>
      <c r="K49" s="221">
        <f t="shared" si="12"/>
        <v>0</v>
      </c>
      <c r="L49" s="221">
        <f t="shared" si="12"/>
        <v>0</v>
      </c>
      <c r="M49" s="221">
        <f t="shared" si="12"/>
        <v>0</v>
      </c>
      <c r="N49" s="221">
        <f t="shared" si="12"/>
        <v>0</v>
      </c>
      <c r="O49" s="221">
        <f t="shared" si="12"/>
        <v>0</v>
      </c>
      <c r="P49" s="221">
        <f t="shared" si="12"/>
        <v>0</v>
      </c>
      <c r="Q49" s="221">
        <f t="shared" si="12"/>
        <v>0</v>
      </c>
      <c r="R49" s="221">
        <f t="shared" si="12"/>
        <v>0</v>
      </c>
      <c r="S49" s="221">
        <f t="shared" si="12"/>
        <v>1027.05</v>
      </c>
      <c r="T49" s="221">
        <f t="shared" si="12"/>
        <v>179.42000000000002</v>
      </c>
      <c r="U49" s="221">
        <f t="shared" si="12"/>
        <v>847.63</v>
      </c>
      <c r="V49" s="221">
        <f>SUM(V46:V48)</f>
        <v>1026.3</v>
      </c>
      <c r="W49" s="221">
        <f t="shared" si="12"/>
        <v>178.67000000000002</v>
      </c>
      <c r="X49" s="221">
        <f t="shared" si="12"/>
        <v>847.63</v>
      </c>
      <c r="Y49" s="221">
        <f t="shared" si="12"/>
        <v>1026.31</v>
      </c>
      <c r="Z49" s="221">
        <f t="shared" si="12"/>
        <v>402.92999999999995</v>
      </c>
      <c r="AA49" s="221">
        <f>SUM(AA46:AA48)</f>
        <v>623.38</v>
      </c>
      <c r="AB49" s="221">
        <f t="shared" ref="AB49:AD49" si="13">SUM(AB46:AB48)</f>
        <v>1011.903</v>
      </c>
      <c r="AC49" s="221">
        <f t="shared" si="13"/>
        <v>164.273</v>
      </c>
      <c r="AD49" s="221">
        <f t="shared" si="13"/>
        <v>847.63</v>
      </c>
      <c r="AE49" s="143"/>
    </row>
    <row r="51" spans="1:31" s="87" customFormat="1">
      <c r="B51" s="88" t="s">
        <v>144</v>
      </c>
    </row>
    <row r="52" spans="1:31" s="87" customFormat="1" ht="34.5" customHeight="1">
      <c r="B52" s="249" t="s">
        <v>150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</sheetData>
  <sortState ref="C9:AE43">
    <sortCondition descending="1" ref="AE9:AE43"/>
  </sortState>
  <mergeCells count="37">
    <mergeCell ref="B52:T52"/>
    <mergeCell ref="C2:AD2"/>
    <mergeCell ref="H7:I7"/>
    <mergeCell ref="J7:J8"/>
    <mergeCell ref="K7:L7"/>
    <mergeCell ref="D4:N4"/>
    <mergeCell ref="F5:F8"/>
    <mergeCell ref="S5:U6"/>
    <mergeCell ref="S7:S8"/>
    <mergeCell ref="T7:U7"/>
    <mergeCell ref="AM4:AN4"/>
    <mergeCell ref="A5:A8"/>
    <mergeCell ref="B5:B8"/>
    <mergeCell ref="C5:E6"/>
    <mergeCell ref="G5:I6"/>
    <mergeCell ref="J5:L6"/>
    <mergeCell ref="M5:O6"/>
    <mergeCell ref="P5:R6"/>
    <mergeCell ref="C7:C8"/>
    <mergeCell ref="M7:M8"/>
    <mergeCell ref="N7:O7"/>
    <mergeCell ref="P7:P8"/>
    <mergeCell ref="Q7:R7"/>
    <mergeCell ref="D7:D8"/>
    <mergeCell ref="E7:E8"/>
    <mergeCell ref="G7:G8"/>
    <mergeCell ref="AE5:AE8"/>
    <mergeCell ref="V5:X6"/>
    <mergeCell ref="V7:V8"/>
    <mergeCell ref="W7:X7"/>
    <mergeCell ref="A45:AE45"/>
    <mergeCell ref="Y5:AA6"/>
    <mergeCell ref="Y7:Y8"/>
    <mergeCell ref="Z7:AA7"/>
    <mergeCell ref="AB5:AD6"/>
    <mergeCell ref="AB7:AB8"/>
    <mergeCell ref="AC7:A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26"/>
  <sheetViews>
    <sheetView zoomScaleNormal="100" zoomScaleSheetLayoutView="100" workbookViewId="0">
      <pane xSplit="6" ySplit="6" topLeftCell="G211" activePane="bottomRight" state="frozen"/>
      <selection pane="topRight" activeCell="G1" sqref="G1"/>
      <selection pane="bottomLeft" activeCell="A7" sqref="A7"/>
      <selection pane="bottomRight" activeCell="AI16" sqref="AI16"/>
    </sheetView>
  </sheetViews>
  <sheetFormatPr defaultRowHeight="15" outlineLevelCol="1"/>
  <cols>
    <col min="1" max="1" width="5.140625" customWidth="1"/>
    <col min="2" max="2" width="26.140625" customWidth="1"/>
    <col min="3" max="3" width="16.85546875" customWidth="1"/>
    <col min="4" max="4" width="6.85546875" customWidth="1"/>
    <col min="5" max="5" width="7.5703125" customWidth="1"/>
    <col min="6" max="6" width="11.85546875" style="12" customWidth="1"/>
    <col min="8" max="8" width="9.85546875" customWidth="1"/>
    <col min="9" max="9" width="9.140625" customWidth="1"/>
    <col min="10" max="10" width="9" hidden="1" customWidth="1" outlineLevel="1"/>
    <col min="11" max="11" width="10" hidden="1" customWidth="1" outlineLevel="1"/>
    <col min="12" max="12" width="9" hidden="1" customWidth="1" outlineLevel="1"/>
    <col min="13" max="13" width="9.140625" hidden="1" customWidth="1" outlineLevel="1"/>
    <col min="14" max="14" width="10.42578125" hidden="1" customWidth="1" outlineLevel="1"/>
    <col min="15" max="15" width="10.140625" hidden="1" customWidth="1" outlineLevel="1"/>
    <col min="16" max="16" width="9.140625" style="38" hidden="1" customWidth="1" outlineLevel="1"/>
    <col min="17" max="17" width="9.7109375" style="38" hidden="1" customWidth="1" outlineLevel="1"/>
    <col min="18" max="27" width="10.5703125" style="38" hidden="1" customWidth="1" outlineLevel="1"/>
    <col min="28" max="28" width="10.5703125" style="38" customWidth="1" collapsed="1"/>
    <col min="29" max="31" width="10.5703125" style="38" customWidth="1"/>
  </cols>
  <sheetData>
    <row r="1" spans="1:31">
      <c r="B1" s="250" t="s">
        <v>13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</row>
    <row r="2" spans="1:31" ht="34.5" customHeight="1">
      <c r="B2" s="251" t="s">
        <v>113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</row>
    <row r="3" spans="1:3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 t="s">
        <v>9</v>
      </c>
    </row>
    <row r="4" spans="1:31" s="94" customFormat="1" ht="43.5" customHeight="1">
      <c r="A4" s="266" t="s">
        <v>0</v>
      </c>
      <c r="B4" s="266" t="s">
        <v>15</v>
      </c>
      <c r="C4" s="266" t="s">
        <v>1</v>
      </c>
      <c r="D4" s="266"/>
      <c r="E4" s="266"/>
      <c r="F4" s="266" t="s">
        <v>80</v>
      </c>
      <c r="G4" s="257" t="s">
        <v>10</v>
      </c>
      <c r="H4" s="257"/>
      <c r="I4" s="257"/>
      <c r="J4" s="257" t="s">
        <v>11</v>
      </c>
      <c r="K4" s="257"/>
      <c r="L4" s="257"/>
      <c r="M4" s="257" t="s">
        <v>12</v>
      </c>
      <c r="N4" s="257"/>
      <c r="O4" s="257"/>
      <c r="P4" s="310" t="s">
        <v>41</v>
      </c>
      <c r="Q4" s="310"/>
      <c r="R4" s="310"/>
      <c r="S4" s="310" t="s">
        <v>110</v>
      </c>
      <c r="T4" s="310"/>
      <c r="U4" s="310"/>
      <c r="V4" s="310" t="s">
        <v>121</v>
      </c>
      <c r="W4" s="310"/>
      <c r="X4" s="310"/>
      <c r="Y4" s="310" t="s">
        <v>141</v>
      </c>
      <c r="Z4" s="310"/>
      <c r="AA4" s="310"/>
      <c r="AB4" s="310" t="s">
        <v>142</v>
      </c>
      <c r="AC4" s="310"/>
      <c r="AD4" s="310"/>
      <c r="AE4" s="263" t="s">
        <v>109</v>
      </c>
    </row>
    <row r="5" spans="1:31" s="94" customFormat="1" ht="13.5" customHeight="1">
      <c r="A5" s="266"/>
      <c r="B5" s="266"/>
      <c r="C5" s="266" t="s">
        <v>2</v>
      </c>
      <c r="D5" s="307" t="s">
        <v>3</v>
      </c>
      <c r="E5" s="307" t="s">
        <v>4</v>
      </c>
      <c r="F5" s="266"/>
      <c r="G5" s="258" t="s">
        <v>5</v>
      </c>
      <c r="H5" s="259" t="s">
        <v>14</v>
      </c>
      <c r="I5" s="259"/>
      <c r="J5" s="258" t="s">
        <v>5</v>
      </c>
      <c r="K5" s="259" t="s">
        <v>14</v>
      </c>
      <c r="L5" s="259"/>
      <c r="M5" s="258" t="s">
        <v>5</v>
      </c>
      <c r="N5" s="259" t="s">
        <v>14</v>
      </c>
      <c r="O5" s="259"/>
      <c r="P5" s="308" t="s">
        <v>5</v>
      </c>
      <c r="Q5" s="309" t="s">
        <v>14</v>
      </c>
      <c r="R5" s="309"/>
      <c r="S5" s="308" t="s">
        <v>5</v>
      </c>
      <c r="T5" s="309" t="s">
        <v>14</v>
      </c>
      <c r="U5" s="309"/>
      <c r="V5" s="308" t="s">
        <v>5</v>
      </c>
      <c r="W5" s="309" t="s">
        <v>14</v>
      </c>
      <c r="X5" s="309"/>
      <c r="Y5" s="308" t="s">
        <v>5</v>
      </c>
      <c r="Z5" s="309" t="s">
        <v>14</v>
      </c>
      <c r="AA5" s="309"/>
      <c r="AB5" s="308" t="s">
        <v>5</v>
      </c>
      <c r="AC5" s="309" t="s">
        <v>14</v>
      </c>
      <c r="AD5" s="309"/>
      <c r="AE5" s="263"/>
    </row>
    <row r="6" spans="1:31" s="94" customFormat="1" ht="60">
      <c r="A6" s="266"/>
      <c r="B6" s="266"/>
      <c r="C6" s="266"/>
      <c r="D6" s="307"/>
      <c r="E6" s="307"/>
      <c r="F6" s="266"/>
      <c r="G6" s="258"/>
      <c r="H6" s="95" t="s">
        <v>6</v>
      </c>
      <c r="I6" s="95" t="s">
        <v>7</v>
      </c>
      <c r="J6" s="258"/>
      <c r="K6" s="95" t="s">
        <v>6</v>
      </c>
      <c r="L6" s="95" t="s">
        <v>7</v>
      </c>
      <c r="M6" s="258"/>
      <c r="N6" s="95" t="s">
        <v>6</v>
      </c>
      <c r="O6" s="95" t="s">
        <v>7</v>
      </c>
      <c r="P6" s="308"/>
      <c r="Q6" s="96" t="s">
        <v>6</v>
      </c>
      <c r="R6" s="96" t="s">
        <v>7</v>
      </c>
      <c r="S6" s="308"/>
      <c r="T6" s="96" t="s">
        <v>6</v>
      </c>
      <c r="U6" s="96" t="s">
        <v>7</v>
      </c>
      <c r="V6" s="308"/>
      <c r="W6" s="96" t="s">
        <v>6</v>
      </c>
      <c r="X6" s="96" t="s">
        <v>7</v>
      </c>
      <c r="Y6" s="308"/>
      <c r="Z6" s="96" t="s">
        <v>6</v>
      </c>
      <c r="AA6" s="96" t="s">
        <v>7</v>
      </c>
      <c r="AB6" s="308"/>
      <c r="AC6" s="96" t="s">
        <v>6</v>
      </c>
      <c r="AD6" s="96" t="s">
        <v>7</v>
      </c>
      <c r="AE6" s="263"/>
    </row>
    <row r="7" spans="1:31" s="105" customFormat="1">
      <c r="A7" s="97">
        <v>1</v>
      </c>
      <c r="B7" s="98" t="s">
        <v>78</v>
      </c>
      <c r="C7" s="312" t="s">
        <v>35</v>
      </c>
      <c r="D7" s="313">
        <v>17</v>
      </c>
      <c r="E7" s="313" t="s">
        <v>20</v>
      </c>
      <c r="F7" s="138">
        <f>[2]МКД!$H$34</f>
        <v>8</v>
      </c>
      <c r="G7" s="101">
        <f>H7+I7</f>
        <v>449.03868999999997</v>
      </c>
      <c r="H7" s="110">
        <f>107550.59/1000</f>
        <v>107.55059</v>
      </c>
      <c r="I7" s="110">
        <f>341488.1/1000</f>
        <v>341.48809999999997</v>
      </c>
      <c r="J7" s="101">
        <f>K7+L7</f>
        <v>608.85890999999992</v>
      </c>
      <c r="K7" s="110">
        <f>165634.43/1000</f>
        <v>165.63442999999998</v>
      </c>
      <c r="L7" s="110">
        <f>443224.48/1000</f>
        <v>443.22447999999997</v>
      </c>
      <c r="M7" s="101">
        <f>N7+O7</f>
        <v>617.69551999999999</v>
      </c>
      <c r="N7" s="110">
        <f>178336.97/1000</f>
        <v>178.33697000000001</v>
      </c>
      <c r="O7" s="110">
        <f>439358.55/1000</f>
        <v>439.35854999999998</v>
      </c>
      <c r="P7" s="101">
        <f>Q7+R7</f>
        <v>702.88</v>
      </c>
      <c r="Q7" s="127">
        <v>196.715</v>
      </c>
      <c r="R7" s="127">
        <v>506.16500000000002</v>
      </c>
      <c r="S7" s="48">
        <f>T7+U7</f>
        <v>705.79</v>
      </c>
      <c r="T7" s="48">
        <v>196.1</v>
      </c>
      <c r="U7" s="48">
        <v>509.69</v>
      </c>
      <c r="V7" s="48">
        <f>W7+X7</f>
        <v>729.12799999999993</v>
      </c>
      <c r="W7" s="48">
        <v>199.44800000000001</v>
      </c>
      <c r="X7" s="48">
        <v>529.67999999999995</v>
      </c>
      <c r="Y7" s="123">
        <f>Z7+AA7</f>
        <v>745.85599999999999</v>
      </c>
      <c r="Z7" s="124">
        <v>209.452</v>
      </c>
      <c r="AA7" s="124">
        <v>536.404</v>
      </c>
      <c r="AB7" s="125">
        <f>AC7+AD7</f>
        <v>793.37899999999991</v>
      </c>
      <c r="AC7" s="125">
        <v>221.92599999999999</v>
      </c>
      <c r="AD7" s="106">
        <v>571.45299999999997</v>
      </c>
      <c r="AE7" s="316">
        <f>AB7/F7</f>
        <v>99.172374999999988</v>
      </c>
    </row>
    <row r="8" spans="1:31" s="105" customFormat="1">
      <c r="A8" s="97">
        <f>A7+1</f>
        <v>2</v>
      </c>
      <c r="B8" s="98" t="s">
        <v>78</v>
      </c>
      <c r="C8" s="98" t="s">
        <v>90</v>
      </c>
      <c r="D8" s="99">
        <v>37</v>
      </c>
      <c r="E8" s="99"/>
      <c r="F8" s="100">
        <f>[3]МКД!$H$117</f>
        <v>15</v>
      </c>
      <c r="G8" s="101">
        <f>H8+I8</f>
        <v>788.00405000000001</v>
      </c>
      <c r="H8" s="110">
        <f>350424.53/1000</f>
        <v>350.42453</v>
      </c>
      <c r="I8" s="110">
        <f>437579.52/1000</f>
        <v>437.57952</v>
      </c>
      <c r="J8" s="101">
        <f>K8+L8</f>
        <v>1052.35779</v>
      </c>
      <c r="K8" s="110">
        <f>410710.05/1000</f>
        <v>410.71004999999997</v>
      </c>
      <c r="L8" s="110">
        <f>641647.74/1000</f>
        <v>641.64774</v>
      </c>
      <c r="M8" s="101">
        <f>N8+O8</f>
        <v>1056.10329</v>
      </c>
      <c r="N8" s="110">
        <f>422504.26/1000</f>
        <v>422.50425999999999</v>
      </c>
      <c r="O8" s="110">
        <f>633599.03/1000</f>
        <v>633.59903000000008</v>
      </c>
      <c r="P8" s="101">
        <f>Q8+R8</f>
        <v>1143.3109999999999</v>
      </c>
      <c r="Q8" s="127">
        <v>431.47300000000001</v>
      </c>
      <c r="R8" s="127">
        <v>711.83799999999997</v>
      </c>
      <c r="S8" s="48">
        <f>T8+U8</f>
        <v>1246.3900000000001</v>
      </c>
      <c r="T8" s="48">
        <v>446.94</v>
      </c>
      <c r="U8" s="48">
        <v>799.45</v>
      </c>
      <c r="V8" s="48">
        <f>W8+X8</f>
        <v>1273.8600000000001</v>
      </c>
      <c r="W8" s="48">
        <v>442.00599999999997</v>
      </c>
      <c r="X8" s="48">
        <v>831.85400000000004</v>
      </c>
      <c r="Y8" s="123">
        <f>Z8+AA8</f>
        <v>1246.1510000000001</v>
      </c>
      <c r="Z8" s="108">
        <f>472.634-62.176</f>
        <v>410.45800000000003</v>
      </c>
      <c r="AA8" s="108">
        <v>835.69299999999998</v>
      </c>
      <c r="AB8" s="125">
        <f>AC8+AD8</f>
        <v>1374.873</v>
      </c>
      <c r="AC8" s="106">
        <v>495.947</v>
      </c>
      <c r="AD8" s="106">
        <v>878.92600000000004</v>
      </c>
      <c r="AE8" s="127">
        <f>AB8/F8</f>
        <v>91.658200000000008</v>
      </c>
    </row>
    <row r="9" spans="1:31" s="105" customFormat="1">
      <c r="A9" s="97">
        <f t="shared" ref="A9:A74" si="0">A8+1</f>
        <v>3</v>
      </c>
      <c r="B9" s="98" t="s">
        <v>78</v>
      </c>
      <c r="C9" s="98" t="s">
        <v>38</v>
      </c>
      <c r="D9" s="99">
        <v>24</v>
      </c>
      <c r="E9" s="99" t="s">
        <v>21</v>
      </c>
      <c r="F9" s="100">
        <f>[3]МКД!$H$98</f>
        <v>20</v>
      </c>
      <c r="G9" s="101">
        <f>H9+I9</f>
        <v>897.49430000000007</v>
      </c>
      <c r="H9" s="110">
        <f>393143.28/1000</f>
        <v>393.14328</v>
      </c>
      <c r="I9" s="110">
        <f>504351.02/1000</f>
        <v>504.35102000000001</v>
      </c>
      <c r="J9" s="101">
        <f>K9+L9</f>
        <v>1143.0320499999998</v>
      </c>
      <c r="K9" s="110">
        <f>531250.09/1000</f>
        <v>531.25009</v>
      </c>
      <c r="L9" s="110">
        <f>611781.96/1000</f>
        <v>611.78195999999991</v>
      </c>
      <c r="M9" s="101">
        <f>N9+O9</f>
        <v>1170.89319</v>
      </c>
      <c r="N9" s="110">
        <f>574596.14/1000</f>
        <v>574.59613999999999</v>
      </c>
      <c r="O9" s="110">
        <f>596297.05/1000</f>
        <v>596.29705000000001</v>
      </c>
      <c r="P9" s="101">
        <f>Q9+R9</f>
        <v>1645.88</v>
      </c>
      <c r="Q9" s="127">
        <v>474.02800000000002</v>
      </c>
      <c r="R9" s="127">
        <v>1171.8520000000001</v>
      </c>
      <c r="S9" s="48">
        <f>T9+U9</f>
        <v>1575.41</v>
      </c>
      <c r="T9" s="48">
        <v>499.51</v>
      </c>
      <c r="U9" s="48">
        <v>1075.9000000000001</v>
      </c>
      <c r="V9" s="48">
        <f>W9+X9</f>
        <v>1626.9880000000001</v>
      </c>
      <c r="W9" s="48">
        <v>491.209</v>
      </c>
      <c r="X9" s="48">
        <v>1135.779</v>
      </c>
      <c r="Y9" s="123">
        <f>Z9+AA9</f>
        <v>1526.2370000000001</v>
      </c>
      <c r="Z9" s="108">
        <f>407.773-22.82</f>
        <v>384.95300000000003</v>
      </c>
      <c r="AA9" s="108">
        <v>1141.2840000000001</v>
      </c>
      <c r="AB9" s="125">
        <f>AC9+AD9</f>
        <v>1698.96</v>
      </c>
      <c r="AC9" s="106">
        <v>465.64699999999999</v>
      </c>
      <c r="AD9" s="106">
        <v>1233.3130000000001</v>
      </c>
      <c r="AE9" s="127">
        <f>AB9/F9</f>
        <v>84.948000000000008</v>
      </c>
    </row>
    <row r="10" spans="1:31" s="105" customFormat="1">
      <c r="A10" s="97">
        <f t="shared" si="0"/>
        <v>4</v>
      </c>
      <c r="B10" s="98" t="s">
        <v>78</v>
      </c>
      <c r="C10" s="98" t="s">
        <v>91</v>
      </c>
      <c r="D10" s="99">
        <v>16</v>
      </c>
      <c r="E10" s="99"/>
      <c r="F10" s="100">
        <f>[3]МКД!$H$126</f>
        <v>12</v>
      </c>
      <c r="G10" s="101">
        <f>H10+I10</f>
        <v>749.72643999999991</v>
      </c>
      <c r="H10" s="110">
        <f>324516.56/1000</f>
        <v>324.51655999999997</v>
      </c>
      <c r="I10" s="110">
        <f>425209.88/1000</f>
        <v>425.20988</v>
      </c>
      <c r="J10" s="101">
        <f>K10+L10</f>
        <v>803.98457999999994</v>
      </c>
      <c r="K10" s="110">
        <f>340274.29/1000</f>
        <v>340.27428999999995</v>
      </c>
      <c r="L10" s="110">
        <f>463710.29/1000</f>
        <v>463.71028999999999</v>
      </c>
      <c r="M10" s="101">
        <f>N10+O10</f>
        <v>4576.6161199999988</v>
      </c>
      <c r="N10" s="110">
        <f>339296.1/1000</f>
        <v>339.29609999999997</v>
      </c>
      <c r="O10" s="110">
        <f>4237320.02/1000</f>
        <v>4237.3200199999992</v>
      </c>
      <c r="P10" s="101">
        <f>Q10+R10</f>
        <v>837.90100000000007</v>
      </c>
      <c r="Q10" s="127">
        <v>340.21300000000002</v>
      </c>
      <c r="R10" s="127">
        <v>497.68799999999999</v>
      </c>
      <c r="S10" s="48">
        <f>T10+U10</f>
        <v>904.30000000000007</v>
      </c>
      <c r="T10" s="48">
        <v>359.6</v>
      </c>
      <c r="U10" s="48">
        <v>544.70000000000005</v>
      </c>
      <c r="V10" s="48">
        <f>W10+X10</f>
        <v>967.09199999999998</v>
      </c>
      <c r="W10" s="48">
        <v>379.971</v>
      </c>
      <c r="X10" s="48">
        <v>587.12099999999998</v>
      </c>
      <c r="Y10" s="123">
        <f>Z10+AA10</f>
        <v>953.98299999999995</v>
      </c>
      <c r="Z10" s="108">
        <v>366.863</v>
      </c>
      <c r="AA10" s="108">
        <v>587.12</v>
      </c>
      <c r="AB10" s="125">
        <f>AC10+AD10</f>
        <v>942.99799999999993</v>
      </c>
      <c r="AC10" s="106">
        <v>355.56299999999999</v>
      </c>
      <c r="AD10" s="106">
        <v>587.43499999999995</v>
      </c>
      <c r="AE10" s="127">
        <f>AB10/F10</f>
        <v>78.583166666666656</v>
      </c>
    </row>
    <row r="11" spans="1:31" s="105" customFormat="1">
      <c r="A11" s="97">
        <f t="shared" si="0"/>
        <v>5</v>
      </c>
      <c r="B11" s="98" t="s">
        <v>78</v>
      </c>
      <c r="C11" s="98" t="s">
        <v>19</v>
      </c>
      <c r="D11" s="99">
        <v>28</v>
      </c>
      <c r="E11" s="99"/>
      <c r="F11" s="100">
        <f>[2]МКД!$H$49</f>
        <v>8</v>
      </c>
      <c r="G11" s="101">
        <f>H11+I11</f>
        <v>509.90735999999998</v>
      </c>
      <c r="H11" s="110">
        <f>118559.95/1000</f>
        <v>118.55995</v>
      </c>
      <c r="I11" s="110">
        <f>391347.41/1000</f>
        <v>391.34740999999997</v>
      </c>
      <c r="J11" s="101">
        <f>K11+L11</f>
        <v>568.44971999999996</v>
      </c>
      <c r="K11" s="110">
        <f>122072.17/1000</f>
        <v>122.07217</v>
      </c>
      <c r="L11" s="110">
        <f>446377.55/1000</f>
        <v>446.37754999999999</v>
      </c>
      <c r="M11" s="101">
        <f>N11+O11</f>
        <v>577.81741</v>
      </c>
      <c r="N11" s="110">
        <f>128408.98/1000</f>
        <v>128.40897999999999</v>
      </c>
      <c r="O11" s="110">
        <f>449408.43/1000</f>
        <v>449.40843000000001</v>
      </c>
      <c r="P11" s="101">
        <f>Q11+R11</f>
        <v>589.69399999999996</v>
      </c>
      <c r="Q11" s="127">
        <v>128.26</v>
      </c>
      <c r="R11" s="127">
        <v>461.43400000000003</v>
      </c>
      <c r="S11" s="48">
        <f>T11+U11</f>
        <v>588.61</v>
      </c>
      <c r="T11" s="48">
        <v>102.33</v>
      </c>
      <c r="U11" s="48">
        <v>486.28</v>
      </c>
      <c r="V11" s="48">
        <f>W11+X11</f>
        <v>578.03099999999995</v>
      </c>
      <c r="W11" s="48">
        <v>100.413</v>
      </c>
      <c r="X11" s="48">
        <v>477.61799999999999</v>
      </c>
      <c r="Y11" s="123">
        <f>Z11+AA11</f>
        <v>566.80799999999999</v>
      </c>
      <c r="Z11" s="124">
        <v>102.33499999999999</v>
      </c>
      <c r="AA11" s="124">
        <v>464.47300000000001</v>
      </c>
      <c r="AB11" s="125">
        <f>AC11+AD11</f>
        <v>617.31299999999999</v>
      </c>
      <c r="AC11" s="106">
        <v>107.348</v>
      </c>
      <c r="AD11" s="106">
        <v>509.96499999999997</v>
      </c>
      <c r="AE11" s="127">
        <f>AB11/F11</f>
        <v>77.164124999999999</v>
      </c>
    </row>
    <row r="12" spans="1:31" s="105" customFormat="1">
      <c r="A12" s="97">
        <f t="shared" si="0"/>
        <v>6</v>
      </c>
      <c r="B12" s="98" t="s">
        <v>78</v>
      </c>
      <c r="C12" s="98" t="s">
        <v>90</v>
      </c>
      <c r="D12" s="99">
        <v>27</v>
      </c>
      <c r="E12" s="99"/>
      <c r="F12" s="100">
        <f>[3]МКД!$H$112</f>
        <v>12</v>
      </c>
      <c r="G12" s="101">
        <f>H12+I12</f>
        <v>616.16952000000003</v>
      </c>
      <c r="H12" s="110">
        <f>211477.04/1000</f>
        <v>211.47704000000002</v>
      </c>
      <c r="I12" s="110">
        <f>404692.48/1000</f>
        <v>404.69247999999999</v>
      </c>
      <c r="J12" s="101">
        <f>K12+L12</f>
        <v>817.23054999999999</v>
      </c>
      <c r="K12" s="110">
        <f>259601.87/1000</f>
        <v>259.60187000000002</v>
      </c>
      <c r="L12" s="110">
        <f>557628.68/1000</f>
        <v>557.62868000000003</v>
      </c>
      <c r="M12" s="101">
        <f>N12+O12</f>
        <v>809.62790000000007</v>
      </c>
      <c r="N12" s="110">
        <f>271605.23/1000</f>
        <v>271.60523000000001</v>
      </c>
      <c r="O12" s="110">
        <f>538022.67/1000</f>
        <v>538.02267000000006</v>
      </c>
      <c r="P12" s="101">
        <f>Q12+R12</f>
        <v>917.4849999999999</v>
      </c>
      <c r="Q12" s="127">
        <v>317.90199999999999</v>
      </c>
      <c r="R12" s="127">
        <v>599.58299999999997</v>
      </c>
      <c r="S12" s="48">
        <f>T12+U12</f>
        <v>942.57999999999993</v>
      </c>
      <c r="T12" s="48">
        <v>320.77</v>
      </c>
      <c r="U12" s="48">
        <v>621.80999999999995</v>
      </c>
      <c r="V12" s="48">
        <f>W12+X12</f>
        <v>965.00099999999998</v>
      </c>
      <c r="W12" s="48">
        <v>328.50599999999997</v>
      </c>
      <c r="X12" s="48">
        <v>636.495</v>
      </c>
      <c r="Y12" s="123">
        <f>Z12+AA12</f>
        <v>958.07600000000002</v>
      </c>
      <c r="Z12" s="108">
        <v>321.58100000000002</v>
      </c>
      <c r="AA12" s="108">
        <v>636.495</v>
      </c>
      <c r="AB12" s="125">
        <f>AC12+AD12</f>
        <v>904.29399999999998</v>
      </c>
      <c r="AC12" s="125">
        <v>222.477</v>
      </c>
      <c r="AD12" s="106">
        <v>681.81700000000001</v>
      </c>
      <c r="AE12" s="127">
        <f>AB12/F12</f>
        <v>75.357833333333332</v>
      </c>
    </row>
    <row r="13" spans="1:31" s="105" customFormat="1">
      <c r="A13" s="97">
        <f t="shared" si="0"/>
        <v>7</v>
      </c>
      <c r="B13" s="98" t="s">
        <v>78</v>
      </c>
      <c r="C13" s="98" t="s">
        <v>98</v>
      </c>
      <c r="D13" s="99">
        <v>36</v>
      </c>
      <c r="E13" s="99" t="s">
        <v>20</v>
      </c>
      <c r="F13" s="100">
        <f>[3]МКД!$H$151</f>
        <v>12</v>
      </c>
      <c r="G13" s="101">
        <f>H13+I13</f>
        <v>691.57413999999994</v>
      </c>
      <c r="H13" s="110">
        <f>371737.62/1000</f>
        <v>371.73761999999999</v>
      </c>
      <c r="I13" s="110">
        <f>319836.52/1000</f>
        <v>319.83652000000001</v>
      </c>
      <c r="J13" s="101">
        <f>K13+L13</f>
        <v>868.61563000000001</v>
      </c>
      <c r="K13" s="110">
        <f>460608.84/1000</f>
        <v>460.60884000000004</v>
      </c>
      <c r="L13" s="110">
        <f>408006.79/1000</f>
        <v>408.00678999999997</v>
      </c>
      <c r="M13" s="101">
        <f>N13+O13</f>
        <v>833.44819000000007</v>
      </c>
      <c r="N13" s="110">
        <f>453140.16/1000</f>
        <v>453.14015999999998</v>
      </c>
      <c r="O13" s="110">
        <f>380308.03/1000</f>
        <v>380.30803000000003</v>
      </c>
      <c r="P13" s="101">
        <f>Q13+R13</f>
        <v>821.80799999999999</v>
      </c>
      <c r="Q13" s="127">
        <v>438.09199999999998</v>
      </c>
      <c r="R13" s="127">
        <v>383.71600000000001</v>
      </c>
      <c r="S13" s="48">
        <f>T13+U13</f>
        <v>899.03</v>
      </c>
      <c r="T13" s="48">
        <v>476.22</v>
      </c>
      <c r="U13" s="48">
        <v>422.81</v>
      </c>
      <c r="V13" s="48">
        <f>W13+X13</f>
        <v>913.66599999999994</v>
      </c>
      <c r="W13" s="48">
        <v>480.72899999999998</v>
      </c>
      <c r="X13" s="48">
        <v>432.93700000000001</v>
      </c>
      <c r="Y13" s="123">
        <f>Z13+AA13</f>
        <v>956.93000000000006</v>
      </c>
      <c r="Z13" s="108">
        <v>495.76900000000001</v>
      </c>
      <c r="AA13" s="108">
        <v>461.161</v>
      </c>
      <c r="AB13" s="125">
        <f>AC13+AD13</f>
        <v>904.22</v>
      </c>
      <c r="AC13" s="106">
        <v>456.44499999999999</v>
      </c>
      <c r="AD13" s="106">
        <v>447.77499999999998</v>
      </c>
      <c r="AE13" s="127">
        <f>AB13/F13</f>
        <v>75.351666666666674</v>
      </c>
    </row>
    <row r="14" spans="1:31" s="105" customFormat="1">
      <c r="A14" s="97">
        <f t="shared" si="0"/>
        <v>8</v>
      </c>
      <c r="B14" s="98" t="s">
        <v>78</v>
      </c>
      <c r="C14" s="98" t="s">
        <v>98</v>
      </c>
      <c r="D14" s="99">
        <v>41</v>
      </c>
      <c r="E14" s="99" t="s">
        <v>21</v>
      </c>
      <c r="F14" s="100">
        <f>[3]МКД!$H$154</f>
        <v>12</v>
      </c>
      <c r="G14" s="101">
        <f>H14+I14</f>
        <v>490.5521</v>
      </c>
      <c r="H14" s="110">
        <f>166792.97/1000</f>
        <v>166.79297</v>
      </c>
      <c r="I14" s="110">
        <f>323759.13/1000</f>
        <v>323.75913000000003</v>
      </c>
      <c r="J14" s="101">
        <f>K14+L14</f>
        <v>594.87518</v>
      </c>
      <c r="K14" s="110">
        <f>218938.21/1000</f>
        <v>218.93821</v>
      </c>
      <c r="L14" s="110">
        <f>375936.97/1000</f>
        <v>375.93696999999997</v>
      </c>
      <c r="M14" s="101">
        <f>N14+O14</f>
        <v>572.49630000000002</v>
      </c>
      <c r="N14" s="110">
        <f>225089.05/1000</f>
        <v>225.08904999999999</v>
      </c>
      <c r="O14" s="110">
        <f>347407.25/1000</f>
        <v>347.40724999999998</v>
      </c>
      <c r="P14" s="101">
        <f>Q14+R14</f>
        <v>707.10400000000004</v>
      </c>
      <c r="Q14" s="127">
        <v>213.42699999999999</v>
      </c>
      <c r="R14" s="127">
        <v>493.67700000000002</v>
      </c>
      <c r="S14" s="48">
        <f>T14+U14</f>
        <v>712.14</v>
      </c>
      <c r="T14" s="48">
        <v>223.03</v>
      </c>
      <c r="U14" s="48">
        <v>489.11</v>
      </c>
      <c r="V14" s="48">
        <f>W14+X14</f>
        <v>744.50400000000002</v>
      </c>
      <c r="W14" s="48">
        <v>228.495</v>
      </c>
      <c r="X14" s="48">
        <v>516.00900000000001</v>
      </c>
      <c r="Y14" s="123">
        <f>Z14+AA14</f>
        <v>749.28899999999999</v>
      </c>
      <c r="Z14" s="108">
        <v>233.28</v>
      </c>
      <c r="AA14" s="108">
        <v>516.00900000000001</v>
      </c>
      <c r="AB14" s="125">
        <f>AC14+AD14</f>
        <v>771.47500000000002</v>
      </c>
      <c r="AC14" s="106">
        <v>225.851</v>
      </c>
      <c r="AD14" s="106">
        <v>545.62400000000002</v>
      </c>
      <c r="AE14" s="127">
        <f>AB14/F14</f>
        <v>64.28958333333334</v>
      </c>
    </row>
    <row r="15" spans="1:31" s="105" customFormat="1">
      <c r="A15" s="97">
        <f t="shared" si="0"/>
        <v>9</v>
      </c>
      <c r="B15" s="98" t="s">
        <v>78</v>
      </c>
      <c r="C15" s="98" t="s">
        <v>37</v>
      </c>
      <c r="D15" s="99">
        <v>11</v>
      </c>
      <c r="E15" s="99"/>
      <c r="F15" s="100">
        <f>[3]МКД!$H$80</f>
        <v>12</v>
      </c>
      <c r="G15" s="101">
        <f>H15+I15</f>
        <v>509.96870000000001</v>
      </c>
      <c r="H15" s="110">
        <f>209574.83/1000</f>
        <v>209.57482999999999</v>
      </c>
      <c r="I15" s="110">
        <f>300393.87/1000</f>
        <v>300.39386999999999</v>
      </c>
      <c r="J15" s="101">
        <f>K15+L15</f>
        <v>683.02179999999998</v>
      </c>
      <c r="K15" s="110">
        <f>316816.49/1000</f>
        <v>316.81648999999999</v>
      </c>
      <c r="L15" s="110">
        <f>366205.31/1000</f>
        <v>366.20531</v>
      </c>
      <c r="M15" s="101">
        <f>N15+O15</f>
        <v>696.81377999999995</v>
      </c>
      <c r="N15" s="110">
        <f>337633.26/1000</f>
        <v>337.63326000000001</v>
      </c>
      <c r="O15" s="110">
        <f>359180.52/1000</f>
        <v>359.18052</v>
      </c>
      <c r="P15" s="101">
        <f>Q15+R15</f>
        <v>866.02099999999996</v>
      </c>
      <c r="Q15" s="127">
        <v>270.30799999999999</v>
      </c>
      <c r="R15" s="127">
        <v>595.71299999999997</v>
      </c>
      <c r="S15" s="48">
        <f>T15+U15</f>
        <v>866.67000000000007</v>
      </c>
      <c r="T15" s="48">
        <v>394.36</v>
      </c>
      <c r="U15" s="48">
        <v>472.31</v>
      </c>
      <c r="V15" s="48">
        <f>W15+X15</f>
        <v>917.96299999999997</v>
      </c>
      <c r="W15" s="48">
        <v>420.08600000000001</v>
      </c>
      <c r="X15" s="48">
        <v>497.87700000000001</v>
      </c>
      <c r="Y15" s="123">
        <f>Z15+AA15</f>
        <v>935.11699999999996</v>
      </c>
      <c r="Z15" s="108">
        <v>436.99700000000001</v>
      </c>
      <c r="AA15" s="108">
        <v>498.12</v>
      </c>
      <c r="AB15" s="125">
        <f>AC15+AD15</f>
        <v>761.93720000000008</v>
      </c>
      <c r="AC15" s="106">
        <v>244.6112</v>
      </c>
      <c r="AD15" s="106">
        <v>517.32600000000002</v>
      </c>
      <c r="AE15" s="127">
        <f>AB15/F15</f>
        <v>63.494766666666671</v>
      </c>
    </row>
    <row r="16" spans="1:31" s="105" customFormat="1">
      <c r="A16" s="97">
        <f t="shared" si="0"/>
        <v>10</v>
      </c>
      <c r="B16" s="98" t="s">
        <v>78</v>
      </c>
      <c r="C16" s="98" t="s">
        <v>57</v>
      </c>
      <c r="D16" s="99">
        <v>13</v>
      </c>
      <c r="E16" s="99"/>
      <c r="F16" s="100">
        <f>[3]МКД!$H$86</f>
        <v>12</v>
      </c>
      <c r="G16" s="101">
        <f>H16+I16</f>
        <v>522.63004000000001</v>
      </c>
      <c r="H16" s="110">
        <f>181639.75/1000</f>
        <v>181.63974999999999</v>
      </c>
      <c r="I16" s="110">
        <f>340990.29/1000</f>
        <v>340.99028999999996</v>
      </c>
      <c r="J16" s="101">
        <f>K16+L16</f>
        <v>647.01589999999999</v>
      </c>
      <c r="K16" s="110">
        <f>217578.12/1000</f>
        <v>217.57811999999998</v>
      </c>
      <c r="L16" s="110">
        <f>429437.78/1000</f>
        <v>429.43778000000003</v>
      </c>
      <c r="M16" s="101">
        <f>N16+O16</f>
        <v>657.00900000000001</v>
      </c>
      <c r="N16" s="110">
        <f>228146.79/1000</f>
        <v>228.14679000000001</v>
      </c>
      <c r="O16" s="110">
        <f>428862.21/1000</f>
        <v>428.86221</v>
      </c>
      <c r="P16" s="101">
        <f>Q16+R16</f>
        <v>749.31</v>
      </c>
      <c r="Q16" s="127">
        <v>237.459</v>
      </c>
      <c r="R16" s="127">
        <v>511.851</v>
      </c>
      <c r="S16" s="48">
        <f>T16+U16</f>
        <v>794.61</v>
      </c>
      <c r="T16" s="48">
        <v>238.29</v>
      </c>
      <c r="U16" s="48">
        <v>556.32000000000005</v>
      </c>
      <c r="V16" s="48">
        <f>W16+X16</f>
        <v>821.76900000000001</v>
      </c>
      <c r="W16" s="48">
        <v>248.41800000000001</v>
      </c>
      <c r="X16" s="48">
        <v>573.351</v>
      </c>
      <c r="Y16" s="123">
        <f>Z16+AA16</f>
        <v>831.40599999999995</v>
      </c>
      <c r="Z16" s="108">
        <v>258.05500000000001</v>
      </c>
      <c r="AA16" s="108">
        <v>573.351</v>
      </c>
      <c r="AB16" s="125">
        <f>AC16+AD16</f>
        <v>703.71900000000005</v>
      </c>
      <c r="AC16" s="106">
        <v>208.06800000000001</v>
      </c>
      <c r="AD16" s="106">
        <v>495.65100000000001</v>
      </c>
      <c r="AE16" s="127">
        <f>AB16/F16</f>
        <v>58.643250000000002</v>
      </c>
    </row>
    <row r="17" spans="1:31" s="105" customFormat="1">
      <c r="A17" s="97">
        <f t="shared" si="0"/>
        <v>11</v>
      </c>
      <c r="B17" s="98" t="s">
        <v>78</v>
      </c>
      <c r="C17" s="312" t="s">
        <v>22</v>
      </c>
      <c r="D17" s="313">
        <v>10</v>
      </c>
      <c r="E17" s="313"/>
      <c r="F17" s="138">
        <f>[2]МКД!$H$32</f>
        <v>72</v>
      </c>
      <c r="G17" s="101">
        <f>H17+I17</f>
        <v>3143.64437</v>
      </c>
      <c r="H17" s="110">
        <f>1302691.53/1000</f>
        <v>1302.6915300000001</v>
      </c>
      <c r="I17" s="110">
        <f>1840952.84/1000</f>
        <v>1840.9528400000002</v>
      </c>
      <c r="J17" s="101">
        <f>K17+L17</f>
        <v>3681.34755</v>
      </c>
      <c r="K17" s="110">
        <f>1465027.96/1000</f>
        <v>1465.0279599999999</v>
      </c>
      <c r="L17" s="110">
        <f>2216319.59/1000</f>
        <v>2216.3195900000001</v>
      </c>
      <c r="M17" s="101">
        <f>N17+O17</f>
        <v>3585.9545400000002</v>
      </c>
      <c r="N17" s="110">
        <f>1523177.24/1000</f>
        <v>1523.17724</v>
      </c>
      <c r="O17" s="110">
        <f>2062777.3/1000</f>
        <v>2062.7773000000002</v>
      </c>
      <c r="P17" s="101">
        <f>Q17+R17</f>
        <v>3633.6189999999997</v>
      </c>
      <c r="Q17" s="127">
        <v>1429.9079999999999</v>
      </c>
      <c r="R17" s="127">
        <v>2203.7109999999998</v>
      </c>
      <c r="S17" s="48">
        <f>T17+U17</f>
        <v>3710.5</v>
      </c>
      <c r="T17" s="48">
        <v>1439.37</v>
      </c>
      <c r="U17" s="48">
        <v>2271.13</v>
      </c>
      <c r="V17" s="48">
        <f>W17+X17</f>
        <v>3839.6379999999999</v>
      </c>
      <c r="W17" s="48">
        <v>1422.8440000000001</v>
      </c>
      <c r="X17" s="48">
        <v>2416.7939999999999</v>
      </c>
      <c r="Y17" s="123">
        <f>Z17+AA17</f>
        <v>3799.69</v>
      </c>
      <c r="Z17" s="124">
        <f>1446.103-8.944-34.92-27.48</f>
        <v>1374.759</v>
      </c>
      <c r="AA17" s="124">
        <v>2424.931</v>
      </c>
      <c r="AB17" s="314">
        <f>AC17+AD17</f>
        <v>3863.2138000000004</v>
      </c>
      <c r="AC17" s="315">
        <v>1389.8938000000001</v>
      </c>
      <c r="AD17" s="315">
        <v>2473.3200000000002</v>
      </c>
      <c r="AE17" s="127">
        <f>AB17/F17</f>
        <v>53.655747222222232</v>
      </c>
    </row>
    <row r="18" spans="1:31" s="105" customFormat="1">
      <c r="A18" s="97">
        <f t="shared" si="0"/>
        <v>12</v>
      </c>
      <c r="B18" s="98" t="s">
        <v>78</v>
      </c>
      <c r="C18" s="98" t="s">
        <v>75</v>
      </c>
      <c r="D18" s="99">
        <v>3</v>
      </c>
      <c r="E18" s="99"/>
      <c r="F18" s="100">
        <f>[3]МКД!$H$89</f>
        <v>12</v>
      </c>
      <c r="G18" s="101">
        <f>H18+I18</f>
        <v>445.35462999999999</v>
      </c>
      <c r="H18" s="110">
        <f>260602.76/1000</f>
        <v>260.60275999999999</v>
      </c>
      <c r="I18" s="110">
        <f>184751.87/1000</f>
        <v>184.75187</v>
      </c>
      <c r="J18" s="101">
        <f>K18+L18</f>
        <v>515.46306000000004</v>
      </c>
      <c r="K18" s="110">
        <f>296670.83/1000</f>
        <v>296.67083000000002</v>
      </c>
      <c r="L18" s="110">
        <f>218792.23/1000</f>
        <v>218.79223000000002</v>
      </c>
      <c r="M18" s="101">
        <f>N18+O18</f>
        <v>489.81730000000005</v>
      </c>
      <c r="N18" s="110">
        <f>296211.84/1000</f>
        <v>296.21184000000005</v>
      </c>
      <c r="O18" s="110">
        <f>193605.46/1000</f>
        <v>193.60545999999999</v>
      </c>
      <c r="P18" s="101">
        <f>Q18+R18</f>
        <v>489.673</v>
      </c>
      <c r="Q18" s="127">
        <v>250.03100000000001</v>
      </c>
      <c r="R18" s="127">
        <v>239.642</v>
      </c>
      <c r="S18" s="48">
        <f>T18+U18</f>
        <v>549.15</v>
      </c>
      <c r="T18" s="48">
        <v>270.52999999999997</v>
      </c>
      <c r="U18" s="48">
        <v>278.62</v>
      </c>
      <c r="V18" s="48">
        <f>W18+X18</f>
        <v>584.56200000000001</v>
      </c>
      <c r="W18" s="48">
        <v>284.72000000000003</v>
      </c>
      <c r="X18" s="48">
        <v>299.84199999999998</v>
      </c>
      <c r="Y18" s="123">
        <f>Z18+AA18</f>
        <v>579.71100000000001</v>
      </c>
      <c r="Z18" s="108">
        <v>277.65800000000002</v>
      </c>
      <c r="AA18" s="108">
        <v>302.053</v>
      </c>
      <c r="AB18" s="125">
        <f>AC18+AD18</f>
        <v>609.63599999999997</v>
      </c>
      <c r="AC18" s="106">
        <v>285.14600000000002</v>
      </c>
      <c r="AD18" s="106">
        <v>324.49</v>
      </c>
      <c r="AE18" s="127">
        <f>AB18/F18</f>
        <v>50.802999999999997</v>
      </c>
    </row>
    <row r="19" spans="1:31" s="105" customFormat="1">
      <c r="A19" s="97">
        <f t="shared" si="0"/>
        <v>13</v>
      </c>
      <c r="B19" s="98" t="s">
        <v>78</v>
      </c>
      <c r="C19" s="98" t="s">
        <v>90</v>
      </c>
      <c r="D19" s="99">
        <v>21</v>
      </c>
      <c r="E19" s="99" t="s">
        <v>21</v>
      </c>
      <c r="F19" s="100">
        <f>[3]МКД!$H$110</f>
        <v>12</v>
      </c>
      <c r="G19" s="101">
        <f>H19+I19</f>
        <v>436.10293999999999</v>
      </c>
      <c r="H19" s="110">
        <f>200086.43/1000</f>
        <v>200.08643000000001</v>
      </c>
      <c r="I19" s="110">
        <f>236016.51/1000</f>
        <v>236.01651000000001</v>
      </c>
      <c r="J19" s="101">
        <f>K19+L19</f>
        <v>494.26902000000001</v>
      </c>
      <c r="K19" s="110">
        <f>231781.68/1000</f>
        <v>231.78167999999999</v>
      </c>
      <c r="L19" s="110">
        <f>262487.34/1000</f>
        <v>262.48734000000002</v>
      </c>
      <c r="M19" s="101">
        <f>N19+O19</f>
        <v>483.32463000000001</v>
      </c>
      <c r="N19" s="110">
        <f>236792.96/1000</f>
        <v>236.79295999999999</v>
      </c>
      <c r="O19" s="110">
        <f>246531.67/1000</f>
        <v>246.53167000000002</v>
      </c>
      <c r="P19" s="101">
        <f>Q19+R19</f>
        <v>541.01800000000003</v>
      </c>
      <c r="Q19" s="127">
        <v>235.96</v>
      </c>
      <c r="R19" s="127">
        <v>305.05799999999999</v>
      </c>
      <c r="S19" s="48">
        <f>T19+U19</f>
        <v>583.38</v>
      </c>
      <c r="T19" s="48">
        <v>241.06</v>
      </c>
      <c r="U19" s="48">
        <v>342.32</v>
      </c>
      <c r="V19" s="48">
        <f>W19+X19</f>
        <v>617.58799999999997</v>
      </c>
      <c r="W19" s="48">
        <v>252.48699999999999</v>
      </c>
      <c r="X19" s="48">
        <v>365.101</v>
      </c>
      <c r="Y19" s="123">
        <f>Z19+AA19</f>
        <v>624.11699999999996</v>
      </c>
      <c r="Z19" s="108">
        <v>259.01600000000002</v>
      </c>
      <c r="AA19" s="108">
        <v>365.101</v>
      </c>
      <c r="AB19" s="125">
        <f>AC19+AD19</f>
        <v>589.23900000000003</v>
      </c>
      <c r="AC19" s="106">
        <v>222.41900000000001</v>
      </c>
      <c r="AD19" s="106">
        <v>366.82</v>
      </c>
      <c r="AE19" s="127">
        <f>AB19/F19</f>
        <v>49.103250000000003</v>
      </c>
    </row>
    <row r="20" spans="1:31" s="105" customFormat="1">
      <c r="A20" s="97">
        <f t="shared" si="0"/>
        <v>14</v>
      </c>
      <c r="B20" s="98" t="s">
        <v>78</v>
      </c>
      <c r="C20" s="98" t="s">
        <v>96</v>
      </c>
      <c r="D20" s="99">
        <v>11</v>
      </c>
      <c r="E20" s="99"/>
      <c r="F20" s="100">
        <f>[3]МКД!$H$143</f>
        <v>12</v>
      </c>
      <c r="G20" s="101">
        <f>H20+I20</f>
        <v>455.79664000000002</v>
      </c>
      <c r="H20" s="110">
        <f>205946.12/1000</f>
        <v>205.94612000000001</v>
      </c>
      <c r="I20" s="110">
        <f>249850.52/1000</f>
        <v>249.85051999999999</v>
      </c>
      <c r="J20" s="101">
        <f>K20+L20</f>
        <v>484.17078000000004</v>
      </c>
      <c r="K20" s="110">
        <f>191607.44/1000</f>
        <v>191.60744</v>
      </c>
      <c r="L20" s="110">
        <f>292563.34/1000</f>
        <v>292.56334000000004</v>
      </c>
      <c r="M20" s="101">
        <f>N20+O20</f>
        <v>477.46138999999994</v>
      </c>
      <c r="N20" s="110">
        <f>194338.54/1000</f>
        <v>194.33853999999999</v>
      </c>
      <c r="O20" s="110">
        <f>283122.85/1000</f>
        <v>283.12284999999997</v>
      </c>
      <c r="P20" s="101">
        <f>Q20+R20</f>
        <v>538.029</v>
      </c>
      <c r="Q20" s="127">
        <v>196.81800000000001</v>
      </c>
      <c r="R20" s="127">
        <v>341.21100000000001</v>
      </c>
      <c r="S20" s="48">
        <f>T20+U20</f>
        <v>563.66000000000008</v>
      </c>
      <c r="T20" s="48">
        <v>182.74</v>
      </c>
      <c r="U20" s="48">
        <v>380.92</v>
      </c>
      <c r="V20" s="48">
        <f>W20+X20</f>
        <v>588.83900000000006</v>
      </c>
      <c r="W20" s="48">
        <v>190.92400000000001</v>
      </c>
      <c r="X20" s="48">
        <v>397.91500000000002</v>
      </c>
      <c r="Y20" s="123">
        <f>Z20+AA20</f>
        <v>579.48700000000008</v>
      </c>
      <c r="Z20" s="108">
        <v>181.572</v>
      </c>
      <c r="AA20" s="108">
        <v>397.91500000000002</v>
      </c>
      <c r="AB20" s="125">
        <f>AC20+AD20</f>
        <v>574.52099999999996</v>
      </c>
      <c r="AC20" s="106">
        <v>169.648</v>
      </c>
      <c r="AD20" s="106">
        <v>404.87299999999999</v>
      </c>
      <c r="AE20" s="127">
        <f>AB20/F20</f>
        <v>47.876749999999994</v>
      </c>
    </row>
    <row r="21" spans="1:31" s="105" customFormat="1">
      <c r="A21" s="97">
        <f t="shared" si="0"/>
        <v>15</v>
      </c>
      <c r="B21" s="98" t="s">
        <v>78</v>
      </c>
      <c r="C21" s="98" t="s">
        <v>90</v>
      </c>
      <c r="D21" s="99">
        <v>33</v>
      </c>
      <c r="E21" s="99"/>
      <c r="F21" s="100">
        <f>[3]МКД!$H$115</f>
        <v>18</v>
      </c>
      <c r="G21" s="101">
        <f>H21+I21</f>
        <v>484.25572999999997</v>
      </c>
      <c r="H21" s="110">
        <f>139623.49/1000</f>
        <v>139.62349</v>
      </c>
      <c r="I21" s="110">
        <f>344632.24/1000</f>
        <v>344.63223999999997</v>
      </c>
      <c r="J21" s="101">
        <f>K21+L21</f>
        <v>583.85347000000002</v>
      </c>
      <c r="K21" s="110">
        <f>161157.36/1000</f>
        <v>161.15735999999998</v>
      </c>
      <c r="L21" s="110">
        <f>422696.11/1000</f>
        <v>422.69610999999998</v>
      </c>
      <c r="M21" s="101">
        <f>N21+O21</f>
        <v>568.02382999999998</v>
      </c>
      <c r="N21" s="110">
        <f>161631.42/1000</f>
        <v>161.63142000000002</v>
      </c>
      <c r="O21" s="110">
        <f>406392.41/1000</f>
        <v>406.39240999999998</v>
      </c>
      <c r="P21" s="101">
        <f>Q21+R21</f>
        <v>832.30600000000004</v>
      </c>
      <c r="Q21" s="127">
        <v>252.26900000000001</v>
      </c>
      <c r="R21" s="127">
        <v>580.03700000000003</v>
      </c>
      <c r="S21" s="48">
        <f>T21+U21</f>
        <v>793.86999999999989</v>
      </c>
      <c r="T21" s="48">
        <v>276.58</v>
      </c>
      <c r="U21" s="48">
        <v>517.29</v>
      </c>
      <c r="V21" s="48">
        <f>W21+X21</f>
        <v>842.72799999999995</v>
      </c>
      <c r="W21" s="48">
        <v>287.17899999999997</v>
      </c>
      <c r="X21" s="48">
        <v>555.54899999999998</v>
      </c>
      <c r="Y21" s="123">
        <f>Z21+AA21</f>
        <v>856.70799999999997</v>
      </c>
      <c r="Z21" s="108">
        <v>275.50900000000001</v>
      </c>
      <c r="AA21" s="108">
        <v>581.19899999999996</v>
      </c>
      <c r="AB21" s="125">
        <f>AC21+AD21</f>
        <v>844.38199999999995</v>
      </c>
      <c r="AC21" s="106">
        <v>254.67400000000001</v>
      </c>
      <c r="AD21" s="106">
        <v>589.70799999999997</v>
      </c>
      <c r="AE21" s="127">
        <f>AB21/F21</f>
        <v>46.910111111111107</v>
      </c>
    </row>
    <row r="22" spans="1:31" s="105" customFormat="1">
      <c r="A22" s="97">
        <f t="shared" si="0"/>
        <v>16</v>
      </c>
      <c r="B22" s="98" t="s">
        <v>78</v>
      </c>
      <c r="C22" s="98" t="s">
        <v>24</v>
      </c>
      <c r="D22" s="99">
        <v>3</v>
      </c>
      <c r="E22" s="99"/>
      <c r="F22" s="100">
        <f>[2]МКД!$H$26</f>
        <v>5</v>
      </c>
      <c r="G22" s="101">
        <f>H22+I22</f>
        <v>157.86866000000001</v>
      </c>
      <c r="H22" s="110">
        <f>59232.5/1000</f>
        <v>59.232500000000002</v>
      </c>
      <c r="I22" s="110">
        <f>98636.16/1000</f>
        <v>98.636160000000004</v>
      </c>
      <c r="J22" s="101">
        <f>K22+L22</f>
        <v>191.67649</v>
      </c>
      <c r="K22" s="110">
        <f>75937.87/1000</f>
        <v>75.93786999999999</v>
      </c>
      <c r="L22" s="110">
        <f>115738.62/1000</f>
        <v>115.73862</v>
      </c>
      <c r="M22" s="101">
        <f>N22+O22</f>
        <v>184.76197999999999</v>
      </c>
      <c r="N22" s="110">
        <f>75846.58/1000</f>
        <v>75.846580000000003</v>
      </c>
      <c r="O22" s="110">
        <f>108915.4/1000</f>
        <v>108.91539999999999</v>
      </c>
      <c r="P22" s="101">
        <f>Q22+R22</f>
        <v>181.31700000000001</v>
      </c>
      <c r="Q22" s="127">
        <v>76.424000000000007</v>
      </c>
      <c r="R22" s="127">
        <v>104.893</v>
      </c>
      <c r="S22" s="48">
        <f>T22+U22</f>
        <v>211.68</v>
      </c>
      <c r="T22" s="48">
        <v>80.59</v>
      </c>
      <c r="U22" s="48">
        <v>131.09</v>
      </c>
      <c r="V22" s="48">
        <f>W22+X22</f>
        <v>218.30500000000001</v>
      </c>
      <c r="W22" s="48">
        <v>82.965999999999994</v>
      </c>
      <c r="X22" s="48">
        <v>135.339</v>
      </c>
      <c r="Y22" s="123">
        <f>Z22+AA22</f>
        <v>220.679</v>
      </c>
      <c r="Z22" s="124">
        <v>85.34</v>
      </c>
      <c r="AA22" s="124">
        <v>135.339</v>
      </c>
      <c r="AB22" s="125">
        <f>AC22+AD22</f>
        <v>233.86399999999998</v>
      </c>
      <c r="AC22" s="125">
        <v>88.347999999999999</v>
      </c>
      <c r="AD22" s="106">
        <v>145.51599999999999</v>
      </c>
      <c r="AE22" s="127">
        <f>AB22/F22</f>
        <v>46.772799999999997</v>
      </c>
    </row>
    <row r="23" spans="1:31" s="105" customFormat="1">
      <c r="A23" s="97">
        <f t="shared" si="0"/>
        <v>17</v>
      </c>
      <c r="B23" s="98" t="s">
        <v>78</v>
      </c>
      <c r="C23" s="98" t="s">
        <v>89</v>
      </c>
      <c r="D23" s="99">
        <v>9</v>
      </c>
      <c r="E23" s="99"/>
      <c r="F23" s="100">
        <f>[3]МКД!$H$103</f>
        <v>4</v>
      </c>
      <c r="G23" s="101">
        <f>H23+I23</f>
        <v>280.94113000000004</v>
      </c>
      <c r="H23" s="110">
        <f>93921.21/1000</f>
        <v>93.921210000000002</v>
      </c>
      <c r="I23" s="110">
        <f>187019.92/1000</f>
        <v>187.01992000000001</v>
      </c>
      <c r="J23" s="101">
        <f>K23+L23</f>
        <v>257.50412</v>
      </c>
      <c r="K23" s="110">
        <f>63391.1/1000</f>
        <v>63.391100000000002</v>
      </c>
      <c r="L23" s="110">
        <f>194113.02/1000</f>
        <v>194.11301999999998</v>
      </c>
      <c r="M23" s="101">
        <f>N23+O23</f>
        <v>243.68729999999999</v>
      </c>
      <c r="N23" s="110">
        <f>63446.55/1000</f>
        <v>63.446550000000002</v>
      </c>
      <c r="O23" s="110">
        <f>180240.75/1000</f>
        <v>180.24074999999999</v>
      </c>
      <c r="P23" s="101">
        <f>Q23+R23</f>
        <v>251.72199999999998</v>
      </c>
      <c r="Q23" s="127">
        <v>66.146000000000001</v>
      </c>
      <c r="R23" s="127">
        <v>185.57599999999999</v>
      </c>
      <c r="S23" s="48">
        <f>T23+U23</f>
        <v>267.33000000000004</v>
      </c>
      <c r="T23" s="48">
        <v>69.03</v>
      </c>
      <c r="U23" s="48">
        <v>198.3</v>
      </c>
      <c r="V23" s="48">
        <f>W23+X23</f>
        <v>233.29200000000003</v>
      </c>
      <c r="W23" s="48">
        <v>71.819000000000003</v>
      </c>
      <c r="X23" s="48">
        <v>161.47300000000001</v>
      </c>
      <c r="Y23" s="123">
        <f>Z23+AA23</f>
        <v>236.08300000000003</v>
      </c>
      <c r="Z23" s="108">
        <v>74.61</v>
      </c>
      <c r="AA23" s="108">
        <v>161.47300000000001</v>
      </c>
      <c r="AB23" s="125">
        <f>AC23+AD23</f>
        <v>184.01299999999998</v>
      </c>
      <c r="AC23" s="125">
        <v>77.400999999999996</v>
      </c>
      <c r="AD23" s="106">
        <v>106.61199999999999</v>
      </c>
      <c r="AE23" s="127">
        <f>AB23/F23</f>
        <v>46.003249999999994</v>
      </c>
    </row>
    <row r="24" spans="1:31" s="105" customFormat="1">
      <c r="A24" s="97">
        <f t="shared" si="0"/>
        <v>18</v>
      </c>
      <c r="B24" s="98" t="s">
        <v>78</v>
      </c>
      <c r="C24" s="98" t="s">
        <v>90</v>
      </c>
      <c r="D24" s="99">
        <v>39</v>
      </c>
      <c r="E24" s="99"/>
      <c r="F24" s="100">
        <f>[3]МКД!$H$119</f>
        <v>18</v>
      </c>
      <c r="G24" s="101">
        <f>H24+I24</f>
        <v>669.58987000000002</v>
      </c>
      <c r="H24" s="110">
        <f>221364.43/1000</f>
        <v>221.36443</v>
      </c>
      <c r="I24" s="110">
        <f>448225.44/1000</f>
        <v>448.22543999999999</v>
      </c>
      <c r="J24" s="101">
        <f>K24+L24</f>
        <v>638.24799000000007</v>
      </c>
      <c r="K24" s="110">
        <f>203163.54/1000</f>
        <v>203.16354000000001</v>
      </c>
      <c r="L24" s="110">
        <f>435084.45/1000</f>
        <v>435.08445</v>
      </c>
      <c r="M24" s="101">
        <f>N24+O24</f>
        <v>608.68982000000005</v>
      </c>
      <c r="N24" s="110">
        <f>206860.82/1000</f>
        <v>206.86082000000002</v>
      </c>
      <c r="O24" s="110">
        <f>401829/1000</f>
        <v>401.82900000000001</v>
      </c>
      <c r="P24" s="101">
        <f>Q24+R24</f>
        <v>788.15900000000011</v>
      </c>
      <c r="Q24" s="127">
        <v>291.09500000000003</v>
      </c>
      <c r="R24" s="127">
        <v>497.06400000000002</v>
      </c>
      <c r="S24" s="48">
        <f>T24+U24</f>
        <v>765.87</v>
      </c>
      <c r="T24" s="48">
        <v>289.25</v>
      </c>
      <c r="U24" s="48">
        <v>476.62</v>
      </c>
      <c r="V24" s="48">
        <f>W24+X24</f>
        <v>787.27300000000002</v>
      </c>
      <c r="W24" s="48">
        <v>278.19900000000001</v>
      </c>
      <c r="X24" s="48">
        <v>509.07400000000001</v>
      </c>
      <c r="Y24" s="123">
        <f>Z24+AA24</f>
        <v>791.9190000000001</v>
      </c>
      <c r="Z24" s="108">
        <v>289.91000000000003</v>
      </c>
      <c r="AA24" s="108">
        <v>502.00900000000001</v>
      </c>
      <c r="AB24" s="125">
        <f>AC24+AD24</f>
        <v>825.62100000000009</v>
      </c>
      <c r="AC24" s="106">
        <v>279.81900000000002</v>
      </c>
      <c r="AD24" s="106">
        <v>545.80200000000002</v>
      </c>
      <c r="AE24" s="127">
        <f>AB24/F24</f>
        <v>45.867833333333337</v>
      </c>
    </row>
    <row r="25" spans="1:31" s="105" customFormat="1">
      <c r="A25" s="97">
        <f t="shared" si="0"/>
        <v>19</v>
      </c>
      <c r="B25" s="98" t="s">
        <v>78</v>
      </c>
      <c r="C25" s="98" t="s">
        <v>37</v>
      </c>
      <c r="D25" s="99">
        <v>7</v>
      </c>
      <c r="E25" s="99"/>
      <c r="F25" s="100">
        <f>[3]МКД!$H$77</f>
        <v>4</v>
      </c>
      <c r="G25" s="101">
        <f>H25+I25</f>
        <v>61.063540000000003</v>
      </c>
      <c r="H25" s="110">
        <f>26457.88/1000</f>
        <v>26.457879999999999</v>
      </c>
      <c r="I25" s="110">
        <f>34605.66/1000</f>
        <v>34.60566</v>
      </c>
      <c r="J25" s="101">
        <f>K25+L25</f>
        <v>121.54562</v>
      </c>
      <c r="K25" s="110">
        <f>51097.96/1000</f>
        <v>51.09796</v>
      </c>
      <c r="L25" s="110">
        <f>70447.66/1000</f>
        <v>70.447659999999999</v>
      </c>
      <c r="M25" s="101">
        <f>N25+O25</f>
        <v>123.35400000000001</v>
      </c>
      <c r="N25" s="110">
        <f>57275.81/1000</f>
        <v>57.27581</v>
      </c>
      <c r="O25" s="110">
        <f>66078.19/1000</f>
        <v>66.078190000000006</v>
      </c>
      <c r="P25" s="101">
        <f>Q25+R25</f>
        <v>91.533999999999992</v>
      </c>
      <c r="Q25" s="127">
        <v>28.783000000000001</v>
      </c>
      <c r="R25" s="127">
        <v>62.750999999999998</v>
      </c>
      <c r="S25" s="48">
        <f>T25+U25</f>
        <v>136.16</v>
      </c>
      <c r="T25" s="48">
        <v>47.88</v>
      </c>
      <c r="U25" s="48">
        <v>88.28</v>
      </c>
      <c r="V25" s="48">
        <f>W25+X25</f>
        <v>148.05600000000001</v>
      </c>
      <c r="W25" s="48">
        <v>52.036999999999999</v>
      </c>
      <c r="X25" s="48">
        <v>96.019000000000005</v>
      </c>
      <c r="Y25" s="123">
        <f>Z25+AA25</f>
        <v>153.06299999999999</v>
      </c>
      <c r="Z25" s="108">
        <v>55.018000000000001</v>
      </c>
      <c r="AA25" s="108">
        <v>98.045000000000002</v>
      </c>
      <c r="AB25" s="125">
        <f>AC25+AD25</f>
        <v>174.24199999999999</v>
      </c>
      <c r="AC25" s="125">
        <v>54.835000000000001</v>
      </c>
      <c r="AD25" s="106">
        <v>119.407</v>
      </c>
      <c r="AE25" s="127">
        <f>AB25/F25</f>
        <v>43.560499999999998</v>
      </c>
    </row>
    <row r="26" spans="1:31" s="105" customFormat="1">
      <c r="A26" s="97">
        <f t="shared" si="0"/>
        <v>20</v>
      </c>
      <c r="B26" s="98" t="s">
        <v>78</v>
      </c>
      <c r="C26" s="98" t="s">
        <v>88</v>
      </c>
      <c r="D26" s="99">
        <v>6</v>
      </c>
      <c r="E26" s="99"/>
      <c r="F26" s="100">
        <f>[2]МКД!$H$64</f>
        <v>12</v>
      </c>
      <c r="G26" s="101">
        <f>H26+I26</f>
        <v>358.70375000000001</v>
      </c>
      <c r="H26" s="110">
        <f>114467.83/1000</f>
        <v>114.46783000000001</v>
      </c>
      <c r="I26" s="110">
        <f>244235.92/1000</f>
        <v>244.23592000000002</v>
      </c>
      <c r="J26" s="101">
        <f>K26+L26</f>
        <v>463.21646999999996</v>
      </c>
      <c r="K26" s="110">
        <f>157122.15/1000</f>
        <v>157.12215</v>
      </c>
      <c r="L26" s="110">
        <f>306094.32/1000</f>
        <v>306.09431999999998</v>
      </c>
      <c r="M26" s="101">
        <f>N26+O26</f>
        <v>447.45374000000004</v>
      </c>
      <c r="N26" s="110">
        <f>156885.04/1000</f>
        <v>156.88504</v>
      </c>
      <c r="O26" s="110">
        <f>290568.7/1000</f>
        <v>290.56870000000004</v>
      </c>
      <c r="P26" s="101">
        <f>Q26+R26</f>
        <v>536.09699999999998</v>
      </c>
      <c r="Q26" s="127">
        <v>147.74</v>
      </c>
      <c r="R26" s="127">
        <v>388.35700000000003</v>
      </c>
      <c r="S26" s="48">
        <f>T26+U26</f>
        <v>578.53</v>
      </c>
      <c r="T26" s="48">
        <v>174.14</v>
      </c>
      <c r="U26" s="48">
        <v>404.39</v>
      </c>
      <c r="V26" s="48">
        <f>W26+X26</f>
        <v>483.42</v>
      </c>
      <c r="W26" s="48">
        <v>136.67599999999999</v>
      </c>
      <c r="X26" s="48">
        <v>346.74400000000003</v>
      </c>
      <c r="Y26" s="123">
        <f>Z26+AA26</f>
        <v>487.43000000000006</v>
      </c>
      <c r="Z26" s="124">
        <v>140.68600000000001</v>
      </c>
      <c r="AA26" s="124">
        <v>346.74400000000003</v>
      </c>
      <c r="AB26" s="125">
        <f>AC26+AD26</f>
        <v>521.10199999999998</v>
      </c>
      <c r="AC26" s="106">
        <v>145.49600000000001</v>
      </c>
      <c r="AD26" s="106">
        <v>375.60599999999999</v>
      </c>
      <c r="AE26" s="127">
        <f>AB26/F26</f>
        <v>43.425166666666662</v>
      </c>
    </row>
    <row r="27" spans="1:31" s="105" customFormat="1">
      <c r="A27" s="97">
        <f t="shared" si="0"/>
        <v>21</v>
      </c>
      <c r="B27" s="98" t="s">
        <v>78</v>
      </c>
      <c r="C27" s="98" t="s">
        <v>90</v>
      </c>
      <c r="D27" s="99">
        <v>41</v>
      </c>
      <c r="E27" s="99"/>
      <c r="F27" s="100">
        <f>[3]МКД!$H$120</f>
        <v>18</v>
      </c>
      <c r="G27" s="101">
        <f>H27+I27</f>
        <v>529.37922000000003</v>
      </c>
      <c r="H27" s="110">
        <f>181085.84/1000</f>
        <v>181.08583999999999</v>
      </c>
      <c r="I27" s="110">
        <f>348293.38/1000</f>
        <v>348.29338000000001</v>
      </c>
      <c r="J27" s="101">
        <f>K27+L27</f>
        <v>606.15534000000002</v>
      </c>
      <c r="K27" s="110">
        <f>205680.48/1000</f>
        <v>205.68048000000002</v>
      </c>
      <c r="L27" s="110">
        <f>400474.86/1000</f>
        <v>400.47485999999998</v>
      </c>
      <c r="M27" s="101">
        <f>N27+O27</f>
        <v>594.35050000000001</v>
      </c>
      <c r="N27" s="110">
        <f>219044.33/1000</f>
        <v>219.04432999999997</v>
      </c>
      <c r="O27" s="110">
        <f>375306.17/1000</f>
        <v>375.30617000000001</v>
      </c>
      <c r="P27" s="101">
        <f>Q27+R27</f>
        <v>737.96299999999997</v>
      </c>
      <c r="Q27" s="127">
        <v>269.27999999999997</v>
      </c>
      <c r="R27" s="127">
        <v>468.68299999999999</v>
      </c>
      <c r="S27" s="48">
        <f>T27+U27</f>
        <v>737.12</v>
      </c>
      <c r="T27" s="48">
        <v>296.25</v>
      </c>
      <c r="U27" s="48">
        <v>440.87</v>
      </c>
      <c r="V27" s="48">
        <f>W27+X27</f>
        <v>765.03500000000008</v>
      </c>
      <c r="W27" s="48">
        <v>298.858</v>
      </c>
      <c r="X27" s="48">
        <v>466.17700000000002</v>
      </c>
      <c r="Y27" s="123">
        <f>Z27+AA27</f>
        <v>799.11</v>
      </c>
      <c r="Z27" s="108">
        <v>304.03899999999999</v>
      </c>
      <c r="AA27" s="108">
        <v>495.07100000000003</v>
      </c>
      <c r="AB27" s="125">
        <f>AC27+AD27</f>
        <v>776.55399999999997</v>
      </c>
      <c r="AC27" s="125">
        <v>255.20099999999999</v>
      </c>
      <c r="AD27" s="106">
        <v>521.35299999999995</v>
      </c>
      <c r="AE27" s="127">
        <f>AB27/F27</f>
        <v>43.141888888888886</v>
      </c>
    </row>
    <row r="28" spans="1:31" s="105" customFormat="1">
      <c r="A28" s="97">
        <f t="shared" si="0"/>
        <v>22</v>
      </c>
      <c r="B28" s="98" t="s">
        <v>78</v>
      </c>
      <c r="C28" s="98" t="s">
        <v>98</v>
      </c>
      <c r="D28" s="99">
        <v>44</v>
      </c>
      <c r="E28" s="99"/>
      <c r="F28" s="100">
        <f>[3]МКД!$H$157</f>
        <v>12</v>
      </c>
      <c r="G28" s="101">
        <f>H28+I28</f>
        <v>421.30606</v>
      </c>
      <c r="H28" s="110">
        <f>146771.62/1000</f>
        <v>146.77161999999998</v>
      </c>
      <c r="I28" s="110">
        <f>274534.44/1000</f>
        <v>274.53444000000002</v>
      </c>
      <c r="J28" s="101">
        <f>K28+L28</f>
        <v>378.45853999999997</v>
      </c>
      <c r="K28" s="110">
        <f>138390.96/1000</f>
        <v>138.39095999999998</v>
      </c>
      <c r="L28" s="110">
        <f>240067.58/1000</f>
        <v>240.06757999999999</v>
      </c>
      <c r="M28" s="101">
        <f>N28+O28</f>
        <v>377.72951</v>
      </c>
      <c r="N28" s="110">
        <f>150874.97/1000</f>
        <v>150.87496999999999</v>
      </c>
      <c r="O28" s="110">
        <f>226854.54/1000</f>
        <v>226.85454000000001</v>
      </c>
      <c r="P28" s="101">
        <f>Q28+R28</f>
        <v>519.64599999999996</v>
      </c>
      <c r="Q28" s="127">
        <v>188.08799999999999</v>
      </c>
      <c r="R28" s="127">
        <v>331.55799999999999</v>
      </c>
      <c r="S28" s="48">
        <f>T28+U28</f>
        <v>536.62</v>
      </c>
      <c r="T28" s="48">
        <v>203.24</v>
      </c>
      <c r="U28" s="48">
        <v>333.38</v>
      </c>
      <c r="V28" s="48">
        <f>W28+X28</f>
        <v>532.49299999999994</v>
      </c>
      <c r="W28" s="48">
        <v>196.41800000000001</v>
      </c>
      <c r="X28" s="48">
        <v>336.07499999999999</v>
      </c>
      <c r="Y28" s="123">
        <f>Z28+AA28</f>
        <v>539.95399999999995</v>
      </c>
      <c r="Z28" s="108">
        <v>203.87899999999999</v>
      </c>
      <c r="AA28" s="108">
        <v>336.07499999999999</v>
      </c>
      <c r="AB28" s="125">
        <f>AC28+AD28</f>
        <v>502.584</v>
      </c>
      <c r="AC28" s="106">
        <v>188.83699999999999</v>
      </c>
      <c r="AD28" s="106">
        <v>313.74700000000001</v>
      </c>
      <c r="AE28" s="127">
        <f>AB28/F28</f>
        <v>41.881999999999998</v>
      </c>
    </row>
    <row r="29" spans="1:31" s="105" customFormat="1">
      <c r="A29" s="97">
        <f t="shared" si="0"/>
        <v>23</v>
      </c>
      <c r="B29" s="98" t="s">
        <v>78</v>
      </c>
      <c r="C29" s="98" t="s">
        <v>35</v>
      </c>
      <c r="D29" s="99">
        <v>23</v>
      </c>
      <c r="E29" s="99"/>
      <c r="F29" s="100">
        <f>[2]МКД!$H$36</f>
        <v>12</v>
      </c>
      <c r="G29" s="101">
        <f>H29+I29</f>
        <v>295.94776999999999</v>
      </c>
      <c r="H29" s="110">
        <f>89451.72/1000</f>
        <v>89.451719999999995</v>
      </c>
      <c r="I29" s="110">
        <f>206496.05/1000</f>
        <v>206.49605</v>
      </c>
      <c r="J29" s="101">
        <f>K29+L29</f>
        <v>363.21244000000002</v>
      </c>
      <c r="K29" s="110">
        <f>111720.34/1000</f>
        <v>111.72033999999999</v>
      </c>
      <c r="L29" s="110">
        <f>251492.1/1000</f>
        <v>251.49209999999999</v>
      </c>
      <c r="M29" s="101">
        <f>N29+O29</f>
        <v>355.98935</v>
      </c>
      <c r="N29" s="110">
        <f>115003.76/1000</f>
        <v>115.00376</v>
      </c>
      <c r="O29" s="110">
        <f>240985.59/1000</f>
        <v>240.98559</v>
      </c>
      <c r="P29" s="101">
        <f>Q29+R29</f>
        <v>444.76400000000001</v>
      </c>
      <c r="Q29" s="127">
        <v>146.41499999999999</v>
      </c>
      <c r="R29" s="127">
        <v>298.34899999999999</v>
      </c>
      <c r="S29" s="48">
        <f>T29+U29</f>
        <v>477.68</v>
      </c>
      <c r="T29" s="48">
        <v>164.61</v>
      </c>
      <c r="U29" s="48">
        <v>313.07</v>
      </c>
      <c r="V29" s="48">
        <f>W29+X29</f>
        <v>472.95399999999995</v>
      </c>
      <c r="W29" s="48">
        <v>138.208</v>
      </c>
      <c r="X29" s="48">
        <v>334.74599999999998</v>
      </c>
      <c r="Y29" s="123">
        <f>Z29+AA29</f>
        <v>480.43799999999999</v>
      </c>
      <c r="Z29" s="124">
        <v>144.93</v>
      </c>
      <c r="AA29" s="124">
        <v>335.50799999999998</v>
      </c>
      <c r="AB29" s="125">
        <f>AC29+AD29</f>
        <v>499.733</v>
      </c>
      <c r="AC29" s="125">
        <v>122.795</v>
      </c>
      <c r="AD29" s="106">
        <v>376.93799999999999</v>
      </c>
      <c r="AE29" s="127">
        <f>AB29/F29</f>
        <v>41.644416666666665</v>
      </c>
    </row>
    <row r="30" spans="1:31" s="105" customFormat="1">
      <c r="A30" s="97">
        <f t="shared" si="0"/>
        <v>24</v>
      </c>
      <c r="B30" s="98" t="s">
        <v>78</v>
      </c>
      <c r="C30" s="98" t="s">
        <v>75</v>
      </c>
      <c r="D30" s="99">
        <v>1</v>
      </c>
      <c r="E30" s="99"/>
      <c r="F30" s="100">
        <f>[3]МКД!$H$87</f>
        <v>10</v>
      </c>
      <c r="G30" s="101">
        <f>H30+I30</f>
        <v>289.68985999999995</v>
      </c>
      <c r="H30" s="110">
        <f>128724.62/1000</f>
        <v>128.72461999999999</v>
      </c>
      <c r="I30" s="110">
        <f>160965.24/1000</f>
        <v>160.96523999999999</v>
      </c>
      <c r="J30" s="101">
        <f>K30+L30</f>
        <v>391.30604</v>
      </c>
      <c r="K30" s="110">
        <f>184368.87/1000</f>
        <v>184.36886999999999</v>
      </c>
      <c r="L30" s="110">
        <f>206937.17/1000</f>
        <v>206.93717000000001</v>
      </c>
      <c r="M30" s="101">
        <f>N30+O30</f>
        <v>326.20659000000001</v>
      </c>
      <c r="N30" s="110">
        <f>163742.98/1000</f>
        <v>163.74298000000002</v>
      </c>
      <c r="O30" s="110">
        <f>162463.61/1000</f>
        <v>162.46360999999999</v>
      </c>
      <c r="P30" s="101">
        <f>Q30+R30</f>
        <v>366.54500000000002</v>
      </c>
      <c r="Q30" s="127">
        <v>150.251</v>
      </c>
      <c r="R30" s="127">
        <v>216.29400000000001</v>
      </c>
      <c r="S30" s="48">
        <f>T30+U30</f>
        <v>373.39</v>
      </c>
      <c r="T30" s="48">
        <v>152.47</v>
      </c>
      <c r="U30" s="48">
        <v>220.92</v>
      </c>
      <c r="V30" s="48">
        <f>W30+X30</f>
        <v>392.03500000000003</v>
      </c>
      <c r="W30" s="48">
        <v>155.57400000000001</v>
      </c>
      <c r="X30" s="48">
        <v>236.46100000000001</v>
      </c>
      <c r="Y30" s="123">
        <f>Z30+AA30</f>
        <v>390.26499999999999</v>
      </c>
      <c r="Z30" s="108">
        <v>153.804</v>
      </c>
      <c r="AA30" s="108">
        <v>236.46100000000001</v>
      </c>
      <c r="AB30" s="125">
        <f>AC30+AD30</f>
        <v>405.89099999999996</v>
      </c>
      <c r="AC30" s="125">
        <v>159.655</v>
      </c>
      <c r="AD30" s="106">
        <v>246.23599999999999</v>
      </c>
      <c r="AE30" s="127">
        <f>AB30/F30</f>
        <v>40.589099999999995</v>
      </c>
    </row>
    <row r="31" spans="1:31" s="105" customFormat="1">
      <c r="A31" s="97">
        <f t="shared" si="0"/>
        <v>25</v>
      </c>
      <c r="B31" s="98" t="s">
        <v>78</v>
      </c>
      <c r="C31" s="98" t="s">
        <v>98</v>
      </c>
      <c r="D31" s="99">
        <v>22</v>
      </c>
      <c r="E31" s="99"/>
      <c r="F31" s="100">
        <f>[3]МКД!$H$148</f>
        <v>12</v>
      </c>
      <c r="G31" s="101">
        <f>H31+I31</f>
        <v>307.88152000000002</v>
      </c>
      <c r="H31" s="110">
        <f>136916.17/1000</f>
        <v>136.91617000000002</v>
      </c>
      <c r="I31" s="110">
        <f>170965.35/1000</f>
        <v>170.96535</v>
      </c>
      <c r="J31" s="101">
        <f>K31+L31</f>
        <v>364.33118999999999</v>
      </c>
      <c r="K31" s="110">
        <f>157792.51/1000</f>
        <v>157.79251000000002</v>
      </c>
      <c r="L31" s="110">
        <f>206538.68/1000</f>
        <v>206.53868</v>
      </c>
      <c r="M31" s="101">
        <f>N31+O31</f>
        <v>347.39219000000003</v>
      </c>
      <c r="N31" s="110">
        <f>157678.71/1000</f>
        <v>157.67871</v>
      </c>
      <c r="O31" s="110">
        <f>189713.48/1000</f>
        <v>189.71348</v>
      </c>
      <c r="P31" s="101">
        <f>Q31+R31</f>
        <v>425.10900000000004</v>
      </c>
      <c r="Q31" s="127">
        <v>123.68899999999999</v>
      </c>
      <c r="R31" s="127">
        <v>301.42</v>
      </c>
      <c r="S31" s="48">
        <f>T31+U31</f>
        <v>451.62</v>
      </c>
      <c r="T31" s="48">
        <v>169.87</v>
      </c>
      <c r="U31" s="48">
        <v>281.75</v>
      </c>
      <c r="V31" s="48">
        <f>W31+X31</f>
        <v>462.76299999999998</v>
      </c>
      <c r="W31" s="48">
        <v>172.822</v>
      </c>
      <c r="X31" s="48">
        <v>289.94099999999997</v>
      </c>
      <c r="Y31" s="123">
        <f>Z31+AA31</f>
        <v>465.81599999999997</v>
      </c>
      <c r="Z31" s="108">
        <v>175.875</v>
      </c>
      <c r="AA31" s="108">
        <v>289.94099999999997</v>
      </c>
      <c r="AB31" s="125">
        <f>AC31+AD31</f>
        <v>484.93</v>
      </c>
      <c r="AC31" s="106">
        <v>181.04300000000001</v>
      </c>
      <c r="AD31" s="106">
        <v>303.887</v>
      </c>
      <c r="AE31" s="127">
        <f>AB31/F31</f>
        <v>40.410833333333336</v>
      </c>
    </row>
    <row r="32" spans="1:31" s="105" customFormat="1">
      <c r="A32" s="97">
        <f t="shared" si="0"/>
        <v>26</v>
      </c>
      <c r="B32" s="98" t="s">
        <v>78</v>
      </c>
      <c r="C32" s="98" t="s">
        <v>94</v>
      </c>
      <c r="D32" s="99">
        <v>9</v>
      </c>
      <c r="E32" s="99" t="s">
        <v>21</v>
      </c>
      <c r="F32" s="100">
        <f>[3]МКД!$H$138</f>
        <v>30</v>
      </c>
      <c r="G32" s="101">
        <f>H32+I32</f>
        <v>916.4837</v>
      </c>
      <c r="H32" s="110">
        <f>267345.93/1000</f>
        <v>267.34593000000001</v>
      </c>
      <c r="I32" s="110">
        <f>649137.77/1000</f>
        <v>649.13777000000005</v>
      </c>
      <c r="J32" s="101">
        <f>K32+L32</f>
        <v>1184.37042</v>
      </c>
      <c r="K32" s="110">
        <f>343969.63/1000</f>
        <v>343.96963</v>
      </c>
      <c r="L32" s="110">
        <f>840400.79/1000</f>
        <v>840.40079000000003</v>
      </c>
      <c r="M32" s="101">
        <f>N32+O32</f>
        <v>1068.2606000000001</v>
      </c>
      <c r="N32" s="110">
        <f>337985.97/1000</f>
        <v>337.98596999999995</v>
      </c>
      <c r="O32" s="110">
        <f>730274.63/1000</f>
        <v>730.27463</v>
      </c>
      <c r="P32" s="101">
        <f>Q32+R32</f>
        <v>1197.9749999999999</v>
      </c>
      <c r="Q32" s="127">
        <v>387.19799999999998</v>
      </c>
      <c r="R32" s="127">
        <v>810.77700000000004</v>
      </c>
      <c r="S32" s="48">
        <f>T32+U32</f>
        <v>1306.55</v>
      </c>
      <c r="T32" s="48">
        <v>371.19</v>
      </c>
      <c r="U32" s="48">
        <v>935.36</v>
      </c>
      <c r="V32" s="48">
        <f>W32+X32</f>
        <v>1353.4349999999999</v>
      </c>
      <c r="W32" s="48">
        <v>365.30399999999997</v>
      </c>
      <c r="X32" s="48">
        <v>988.13099999999997</v>
      </c>
      <c r="Y32" s="123">
        <f>Z32+AA32</f>
        <v>1388.1379999999999</v>
      </c>
      <c r="Z32" s="108">
        <v>386.67899999999997</v>
      </c>
      <c r="AA32" s="108">
        <v>1001.4589999999999</v>
      </c>
      <c r="AB32" s="125">
        <f>AC32+AD32</f>
        <v>1197.5720000000001</v>
      </c>
      <c r="AC32" s="106">
        <v>309.57799999999997</v>
      </c>
      <c r="AD32" s="106">
        <v>887.99400000000003</v>
      </c>
      <c r="AE32" s="127">
        <f>AB32/F32</f>
        <v>39.919066666666673</v>
      </c>
    </row>
    <row r="33" spans="1:31" s="105" customFormat="1">
      <c r="A33" s="97">
        <f t="shared" si="0"/>
        <v>27</v>
      </c>
      <c r="B33" s="98" t="s">
        <v>78</v>
      </c>
      <c r="C33" s="98" t="s">
        <v>98</v>
      </c>
      <c r="D33" s="99">
        <v>20</v>
      </c>
      <c r="E33" s="99"/>
      <c r="F33" s="100">
        <f>[3]МКД!$H$147</f>
        <v>12</v>
      </c>
      <c r="G33" s="101">
        <f>H33+I33</f>
        <v>392.01252999999997</v>
      </c>
      <c r="H33" s="110">
        <f>138440.84/1000</f>
        <v>138.44084000000001</v>
      </c>
      <c r="I33" s="110">
        <f>253571.69/1000</f>
        <v>253.57168999999999</v>
      </c>
      <c r="J33" s="101">
        <f>K33+L33</f>
        <v>496.48894000000001</v>
      </c>
      <c r="K33" s="110">
        <f>182443.13/1000</f>
        <v>182.44313</v>
      </c>
      <c r="L33" s="110">
        <f>314045.81/1000</f>
        <v>314.04581000000002</v>
      </c>
      <c r="M33" s="101">
        <f>N33+O33</f>
        <v>392.18567999999999</v>
      </c>
      <c r="N33" s="110">
        <f>147194.88/1000</f>
        <v>147.19488000000001</v>
      </c>
      <c r="O33" s="110">
        <f>244990.8/1000</f>
        <v>244.99079999999998</v>
      </c>
      <c r="P33" s="101">
        <f>Q33+R33</f>
        <v>431.71</v>
      </c>
      <c r="Q33" s="127">
        <v>121.681</v>
      </c>
      <c r="R33" s="127">
        <v>310.029</v>
      </c>
      <c r="S33" s="48">
        <f>T33+U33</f>
        <v>442.12</v>
      </c>
      <c r="T33" s="48">
        <v>152.34</v>
      </c>
      <c r="U33" s="48">
        <v>289.77999999999997</v>
      </c>
      <c r="V33" s="48">
        <f>W33+X33</f>
        <v>469.08</v>
      </c>
      <c r="W33" s="48">
        <v>167.017</v>
      </c>
      <c r="X33" s="48">
        <v>302.06299999999999</v>
      </c>
      <c r="Y33" s="123">
        <f>Z33+AA33</f>
        <v>470.63</v>
      </c>
      <c r="Z33" s="108">
        <v>168.01599999999999</v>
      </c>
      <c r="AA33" s="108">
        <v>302.61399999999998</v>
      </c>
      <c r="AB33" s="125">
        <f>AC33+AD33</f>
        <v>477.39300000000003</v>
      </c>
      <c r="AC33" s="106">
        <v>154.60499999999999</v>
      </c>
      <c r="AD33" s="106">
        <v>322.78800000000001</v>
      </c>
      <c r="AE33" s="127">
        <f>AB33/F33</f>
        <v>39.78275</v>
      </c>
    </row>
    <row r="34" spans="1:31" s="105" customFormat="1">
      <c r="A34" s="97">
        <f t="shared" si="0"/>
        <v>28</v>
      </c>
      <c r="B34" s="98" t="s">
        <v>78</v>
      </c>
      <c r="C34" s="98" t="s">
        <v>98</v>
      </c>
      <c r="D34" s="99">
        <v>39</v>
      </c>
      <c r="E34" s="99"/>
      <c r="F34" s="100">
        <f>[3]МКД!$H$152</f>
        <v>12</v>
      </c>
      <c r="G34" s="101">
        <f>H34+I34</f>
        <v>271.62461000000002</v>
      </c>
      <c r="H34" s="110">
        <f>105730.47/1000</f>
        <v>105.73047</v>
      </c>
      <c r="I34" s="110">
        <f>165894.14/1000</f>
        <v>165.89414000000002</v>
      </c>
      <c r="J34" s="101">
        <f>K34+L34</f>
        <v>313.75357000000002</v>
      </c>
      <c r="K34" s="110">
        <f>139121.38/1000</f>
        <v>139.12138000000002</v>
      </c>
      <c r="L34" s="110">
        <f>174632.19/1000</f>
        <v>174.63219000000001</v>
      </c>
      <c r="M34" s="101">
        <f>N34+O34</f>
        <v>315.01761999999997</v>
      </c>
      <c r="N34" s="110">
        <f>148582.52/1000</f>
        <v>148.58251999999999</v>
      </c>
      <c r="O34" s="110">
        <f>166435.1/1000</f>
        <v>166.43510000000001</v>
      </c>
      <c r="P34" s="101">
        <f>Q34+R34</f>
        <v>336.69500000000005</v>
      </c>
      <c r="Q34" s="127">
        <v>159.83500000000001</v>
      </c>
      <c r="R34" s="127">
        <v>176.86</v>
      </c>
      <c r="S34" s="48">
        <f>T34+U34</f>
        <v>386.07</v>
      </c>
      <c r="T34" s="48">
        <v>174.79</v>
      </c>
      <c r="U34" s="48">
        <v>211.28</v>
      </c>
      <c r="V34" s="48">
        <f>W34+X34</f>
        <v>416.36599999999999</v>
      </c>
      <c r="W34" s="48">
        <v>180.29499999999999</v>
      </c>
      <c r="X34" s="48">
        <v>236.071</v>
      </c>
      <c r="Y34" s="123">
        <f>Z34+AA34</f>
        <v>428.88800000000003</v>
      </c>
      <c r="Z34" s="108">
        <v>194.65600000000001</v>
      </c>
      <c r="AA34" s="108">
        <v>234.232</v>
      </c>
      <c r="AB34" s="125">
        <f>AC34+AD34</f>
        <v>453.49199999999996</v>
      </c>
      <c r="AC34" s="125">
        <v>192.095</v>
      </c>
      <c r="AD34" s="106">
        <v>261.39699999999999</v>
      </c>
      <c r="AE34" s="127">
        <f>AB34/F34</f>
        <v>37.790999999999997</v>
      </c>
    </row>
    <row r="35" spans="1:31" s="105" customFormat="1">
      <c r="A35" s="97">
        <f t="shared" si="0"/>
        <v>29</v>
      </c>
      <c r="B35" s="98" t="s">
        <v>78</v>
      </c>
      <c r="C35" s="98" t="s">
        <v>81</v>
      </c>
      <c r="D35" s="99">
        <v>8</v>
      </c>
      <c r="E35" s="99"/>
      <c r="F35" s="100">
        <f>[2]МКД!$H$12</f>
        <v>12</v>
      </c>
      <c r="G35" s="101">
        <f>H35+I35</f>
        <v>242.41165999999998</v>
      </c>
      <c r="H35" s="110">
        <f>105479.43/1000</f>
        <v>105.47942999999999</v>
      </c>
      <c r="I35" s="110">
        <f>136932.23/1000</f>
        <v>136.93223</v>
      </c>
      <c r="J35" s="101">
        <f>K35+L35</f>
        <v>293.60480000000001</v>
      </c>
      <c r="K35" s="110">
        <f>134222.41/1000</f>
        <v>134.22241</v>
      </c>
      <c r="L35" s="110">
        <f>159382.39/1000</f>
        <v>159.38239000000002</v>
      </c>
      <c r="M35" s="101">
        <f>N35+O35</f>
        <v>287.45915000000002</v>
      </c>
      <c r="N35" s="110">
        <f>140398.17/1000</f>
        <v>140.39817000000002</v>
      </c>
      <c r="O35" s="110">
        <f>147060.98/1000</f>
        <v>147.06098</v>
      </c>
      <c r="P35" s="101">
        <f>Q35+R35</f>
        <v>440.25400000000002</v>
      </c>
      <c r="Q35" s="127">
        <v>153.35</v>
      </c>
      <c r="R35" s="127">
        <v>286.904</v>
      </c>
      <c r="S35" s="48">
        <f>T35+U35</f>
        <v>432.46000000000004</v>
      </c>
      <c r="T35" s="48">
        <v>155.1</v>
      </c>
      <c r="U35" s="48">
        <v>277.36</v>
      </c>
      <c r="V35" s="48">
        <f>W35+X35</f>
        <v>435.15300000000002</v>
      </c>
      <c r="W35" s="48">
        <v>155.13300000000001</v>
      </c>
      <c r="X35" s="48">
        <v>280.02</v>
      </c>
      <c r="Y35" s="123">
        <f>Z35+AA35</f>
        <v>436.73899999999998</v>
      </c>
      <c r="Z35" s="124">
        <v>156.887</v>
      </c>
      <c r="AA35" s="124">
        <v>279.85199999999998</v>
      </c>
      <c r="AB35" s="125">
        <f>AC35+AD35</f>
        <v>450.89600000000002</v>
      </c>
      <c r="AC35" s="106">
        <v>158</v>
      </c>
      <c r="AD35" s="106">
        <v>292.89600000000002</v>
      </c>
      <c r="AE35" s="127">
        <f>AB35/F35</f>
        <v>37.574666666666666</v>
      </c>
    </row>
    <row r="36" spans="1:31" s="105" customFormat="1">
      <c r="A36" s="97">
        <f t="shared" si="0"/>
        <v>30</v>
      </c>
      <c r="B36" s="98" t="s">
        <v>78</v>
      </c>
      <c r="C36" s="98" t="s">
        <v>93</v>
      </c>
      <c r="D36" s="99">
        <v>8</v>
      </c>
      <c r="E36" s="99"/>
      <c r="F36" s="100">
        <f>[3]МКД!$H$133</f>
        <v>8</v>
      </c>
      <c r="G36" s="101">
        <f>H36+I36</f>
        <v>138.77190000000002</v>
      </c>
      <c r="H36" s="110">
        <f>126379.82/1000</f>
        <v>126.37982000000001</v>
      </c>
      <c r="I36" s="110">
        <f>12392.08/1000</f>
        <v>12.39208</v>
      </c>
      <c r="J36" s="101">
        <f>K36+L36</f>
        <v>179.12054000000001</v>
      </c>
      <c r="K36" s="110">
        <f>164920.1/1000</f>
        <v>164.92010000000002</v>
      </c>
      <c r="L36" s="110">
        <f>14200.44/1000</f>
        <v>14.20044</v>
      </c>
      <c r="M36" s="101">
        <f>N36+O36</f>
        <v>187.62574999999998</v>
      </c>
      <c r="N36" s="110">
        <f>172458.88/1000</f>
        <v>172.45887999999999</v>
      </c>
      <c r="O36" s="110">
        <f>15166.87/1000</f>
        <v>15.166870000000001</v>
      </c>
      <c r="P36" s="101">
        <f>Q36+R36</f>
        <v>243.464</v>
      </c>
      <c r="Q36" s="127">
        <v>194.86799999999999</v>
      </c>
      <c r="R36" s="127">
        <v>48.595999999999997</v>
      </c>
      <c r="S36" s="48">
        <f>T36+U36</f>
        <v>232.83</v>
      </c>
      <c r="T36" s="48">
        <v>215.8</v>
      </c>
      <c r="U36" s="48">
        <v>17.03</v>
      </c>
      <c r="V36" s="48">
        <f>W36+X36</f>
        <v>237.595</v>
      </c>
      <c r="W36" s="48">
        <v>221.54599999999999</v>
      </c>
      <c r="X36" s="48">
        <v>16.048999999999999</v>
      </c>
      <c r="Y36" s="123">
        <f>Z36+AA36</f>
        <v>275.26900000000001</v>
      </c>
      <c r="Z36" s="108">
        <v>259.22000000000003</v>
      </c>
      <c r="AA36" s="108">
        <v>16.048999999999999</v>
      </c>
      <c r="AB36" s="125">
        <f>AC36+AD36</f>
        <v>298.13299999999998</v>
      </c>
      <c r="AC36" s="125">
        <v>247.15899999999999</v>
      </c>
      <c r="AD36" s="106">
        <v>50.973999999999997</v>
      </c>
      <c r="AE36" s="127">
        <f>AB36/F36</f>
        <v>37.266624999999998</v>
      </c>
    </row>
    <row r="37" spans="1:31" s="105" customFormat="1">
      <c r="A37" s="97">
        <f t="shared" si="0"/>
        <v>31</v>
      </c>
      <c r="B37" s="98" t="s">
        <v>78</v>
      </c>
      <c r="C37" s="98" t="s">
        <v>90</v>
      </c>
      <c r="D37" s="99">
        <v>21</v>
      </c>
      <c r="E37" s="99" t="s">
        <v>20</v>
      </c>
      <c r="F37" s="100">
        <f>[3]МКД!$H$109</f>
        <v>12</v>
      </c>
      <c r="G37" s="101">
        <f>H37+I37</f>
        <v>318.59866</v>
      </c>
      <c r="H37" s="110">
        <f>109182.15/1000</f>
        <v>109.18214999999999</v>
      </c>
      <c r="I37" s="110">
        <f>209416.51/1000</f>
        <v>209.41651000000002</v>
      </c>
      <c r="J37" s="101">
        <f>K37+L37</f>
        <v>377.55705</v>
      </c>
      <c r="K37" s="110">
        <f>144537.6/1000</f>
        <v>144.5376</v>
      </c>
      <c r="L37" s="110">
        <f>233019.45/1000</f>
        <v>233.01945000000001</v>
      </c>
      <c r="M37" s="101">
        <f>N37+O37</f>
        <v>384.60648000000003</v>
      </c>
      <c r="N37" s="110">
        <f>158899.69/1000</f>
        <v>158.89968999999999</v>
      </c>
      <c r="O37" s="110">
        <f>225706.79/1000</f>
        <v>225.70679000000001</v>
      </c>
      <c r="P37" s="101">
        <f>Q37+R37</f>
        <v>489.37099999999998</v>
      </c>
      <c r="Q37" s="127">
        <v>165.268</v>
      </c>
      <c r="R37" s="127">
        <v>324.10300000000001</v>
      </c>
      <c r="S37" s="48">
        <f>T37+U37</f>
        <v>473.77</v>
      </c>
      <c r="T37" s="48">
        <v>214.96</v>
      </c>
      <c r="U37" s="48">
        <v>258.81</v>
      </c>
      <c r="V37" s="48">
        <f>W37+X37</f>
        <v>422.41399999999999</v>
      </c>
      <c r="W37" s="48">
        <v>188.352</v>
      </c>
      <c r="X37" s="48">
        <v>234.06200000000001</v>
      </c>
      <c r="Y37" s="123">
        <f>Z37+AA37</f>
        <v>426.16399999999999</v>
      </c>
      <c r="Z37" s="108">
        <v>193.63300000000001</v>
      </c>
      <c r="AA37" s="108">
        <v>232.53100000000001</v>
      </c>
      <c r="AB37" s="125">
        <f>AC37+AD37</f>
        <v>433.536</v>
      </c>
      <c r="AC37" s="106">
        <v>194.61600000000001</v>
      </c>
      <c r="AD37" s="106">
        <v>238.92</v>
      </c>
      <c r="AE37" s="127">
        <f>AB37/F37</f>
        <v>36.128</v>
      </c>
    </row>
    <row r="38" spans="1:31" s="105" customFormat="1">
      <c r="A38" s="97">
        <f t="shared" si="0"/>
        <v>32</v>
      </c>
      <c r="B38" s="98" t="s">
        <v>78</v>
      </c>
      <c r="C38" s="98" t="s">
        <v>81</v>
      </c>
      <c r="D38" s="99">
        <v>66</v>
      </c>
      <c r="E38" s="99" t="s">
        <v>20</v>
      </c>
      <c r="F38" s="100">
        <f>[1]МКД!$H$231</f>
        <v>2</v>
      </c>
      <c r="G38" s="101">
        <f>H38+I38</f>
        <v>0</v>
      </c>
      <c r="H38" s="110">
        <v>0</v>
      </c>
      <c r="I38" s="110"/>
      <c r="J38" s="101">
        <f>K38+L38</f>
        <v>37.945889999999999</v>
      </c>
      <c r="K38" s="110">
        <f>37310.09/1000</f>
        <v>37.310089999999995</v>
      </c>
      <c r="L38" s="110">
        <f>635.8/1000</f>
        <v>0.63579999999999992</v>
      </c>
      <c r="M38" s="101">
        <f>N38+O38</f>
        <v>40.097340000000003</v>
      </c>
      <c r="N38" s="110">
        <f>39365.25/1000</f>
        <v>39.365250000000003</v>
      </c>
      <c r="O38" s="110">
        <f>732.09/1000</f>
        <v>0.73209000000000002</v>
      </c>
      <c r="P38" s="101">
        <f>Q38+R38</f>
        <v>46.104999999999997</v>
      </c>
      <c r="Q38" s="127">
        <v>45.253</v>
      </c>
      <c r="R38" s="127">
        <v>0.85199999999999998</v>
      </c>
      <c r="S38" s="48">
        <f>T38+U38</f>
        <v>53.26</v>
      </c>
      <c r="T38" s="48">
        <v>52.32</v>
      </c>
      <c r="U38" s="48">
        <v>0.94</v>
      </c>
      <c r="V38" s="48">
        <f>W38+X38</f>
        <v>60.381</v>
      </c>
      <c r="W38" s="48">
        <v>59.357999999999997</v>
      </c>
      <c r="X38" s="48">
        <v>1.0229999999999999</v>
      </c>
      <c r="Y38" s="123">
        <f>Z38+AA38</f>
        <v>66.268000000000001</v>
      </c>
      <c r="Z38" s="124">
        <v>65.245000000000005</v>
      </c>
      <c r="AA38" s="124">
        <v>1.0229999999999999</v>
      </c>
      <c r="AB38" s="125">
        <f>AC38+AD38</f>
        <v>71.126999999999995</v>
      </c>
      <c r="AC38" s="106">
        <v>70.427999999999997</v>
      </c>
      <c r="AD38" s="126">
        <v>0.69899999999999995</v>
      </c>
      <c r="AE38" s="127">
        <f>AB38/F38</f>
        <v>35.563499999999998</v>
      </c>
    </row>
    <row r="39" spans="1:31" s="105" customFormat="1">
      <c r="A39" s="97">
        <f t="shared" si="0"/>
        <v>33</v>
      </c>
      <c r="B39" s="98" t="s">
        <v>78</v>
      </c>
      <c r="C39" s="98" t="s">
        <v>85</v>
      </c>
      <c r="D39" s="99">
        <v>8</v>
      </c>
      <c r="E39" s="99" t="s">
        <v>20</v>
      </c>
      <c r="F39" s="100">
        <f>[2]МКД!$H$39</f>
        <v>12</v>
      </c>
      <c r="G39" s="101">
        <f>H39+I39</f>
        <v>260.81283999999999</v>
      </c>
      <c r="H39" s="110">
        <f>100650.69/1000</f>
        <v>100.65069</v>
      </c>
      <c r="I39" s="110">
        <f>160162.15/1000</f>
        <v>160.16215</v>
      </c>
      <c r="J39" s="101">
        <f>K39+L39</f>
        <v>298.12617999999998</v>
      </c>
      <c r="K39" s="110">
        <f>121602.83/1000</f>
        <v>121.60283</v>
      </c>
      <c r="L39" s="110">
        <f>176523.35/1000</f>
        <v>176.52334999999999</v>
      </c>
      <c r="M39" s="101">
        <f>N39+O39</f>
        <v>278.62941000000001</v>
      </c>
      <c r="N39" s="110">
        <f>127029.15/1000</f>
        <v>127.02914999999999</v>
      </c>
      <c r="O39" s="110">
        <f>151600.26/1000</f>
        <v>151.60026000000002</v>
      </c>
      <c r="P39" s="101">
        <f>Q39+R39</f>
        <v>368.32799999999997</v>
      </c>
      <c r="Q39" s="127">
        <v>119.182</v>
      </c>
      <c r="R39" s="127">
        <v>249.14599999999999</v>
      </c>
      <c r="S39" s="48">
        <f>T39+U39</f>
        <v>411.39</v>
      </c>
      <c r="T39" s="48">
        <v>129.55000000000001</v>
      </c>
      <c r="U39" s="48">
        <v>281.83999999999997</v>
      </c>
      <c r="V39" s="48">
        <f>W39+X39</f>
        <v>414.72500000000002</v>
      </c>
      <c r="W39" s="48">
        <v>121.733</v>
      </c>
      <c r="X39" s="48">
        <v>292.99200000000002</v>
      </c>
      <c r="Y39" s="123">
        <f>Z39+AA39</f>
        <v>420.10700000000003</v>
      </c>
      <c r="Z39" s="124">
        <v>127.11499999999999</v>
      </c>
      <c r="AA39" s="124">
        <v>292.99200000000002</v>
      </c>
      <c r="AB39" s="125">
        <f>AC39+AD39</f>
        <v>424.74599999999998</v>
      </c>
      <c r="AC39" s="106">
        <v>131.059</v>
      </c>
      <c r="AD39" s="106">
        <v>293.68700000000001</v>
      </c>
      <c r="AE39" s="127">
        <f>AB39/F39</f>
        <v>35.395499999999998</v>
      </c>
    </row>
    <row r="40" spans="1:31" s="105" customFormat="1">
      <c r="A40" s="97">
        <f t="shared" si="0"/>
        <v>34</v>
      </c>
      <c r="B40" s="98" t="s">
        <v>78</v>
      </c>
      <c r="C40" s="98" t="s">
        <v>37</v>
      </c>
      <c r="D40" s="99">
        <v>34</v>
      </c>
      <c r="E40" s="99"/>
      <c r="F40" s="100">
        <f>[3]МКД!$H$85</f>
        <v>12</v>
      </c>
      <c r="G40" s="101">
        <f>H40+I40</f>
        <v>314.94443999999999</v>
      </c>
      <c r="H40" s="110">
        <f>130634.48/1000</f>
        <v>130.63448</v>
      </c>
      <c r="I40" s="110">
        <f>184309.96/1000</f>
        <v>184.30995999999999</v>
      </c>
      <c r="J40" s="101">
        <f>K40+L40</f>
        <v>357.95405000000005</v>
      </c>
      <c r="K40" s="110">
        <f>141017.91/1000</f>
        <v>141.01791</v>
      </c>
      <c r="L40" s="110">
        <f>216936.14/1000</f>
        <v>216.93614000000002</v>
      </c>
      <c r="M40" s="101">
        <f>N40+O40</f>
        <v>353.22293000000002</v>
      </c>
      <c r="N40" s="110">
        <f>149565.82/1000</f>
        <v>149.56582</v>
      </c>
      <c r="O40" s="110">
        <f>203657.11/1000</f>
        <v>203.65710999999999</v>
      </c>
      <c r="P40" s="101">
        <f>Q40+R40</f>
        <v>399.52300000000002</v>
      </c>
      <c r="Q40" s="127">
        <v>142.35900000000001</v>
      </c>
      <c r="R40" s="127">
        <v>257.16399999999999</v>
      </c>
      <c r="S40" s="48">
        <f>T40+U40</f>
        <v>451.82000000000005</v>
      </c>
      <c r="T40" s="48">
        <v>170.72</v>
      </c>
      <c r="U40" s="48">
        <v>281.10000000000002</v>
      </c>
      <c r="V40" s="48">
        <f>W40+X40</f>
        <v>427.32600000000002</v>
      </c>
      <c r="W40" s="48">
        <f>164.006-22.82-0.21</f>
        <v>140.976</v>
      </c>
      <c r="X40" s="48">
        <v>286.35000000000002</v>
      </c>
      <c r="Y40" s="123">
        <f>Z40+AA40</f>
        <v>374.44300000000004</v>
      </c>
      <c r="Z40" s="108">
        <v>88.093000000000004</v>
      </c>
      <c r="AA40" s="108">
        <v>286.35000000000002</v>
      </c>
      <c r="AB40" s="125">
        <f>AC40+AD40</f>
        <v>424.32399999999996</v>
      </c>
      <c r="AC40" s="106">
        <v>115.982</v>
      </c>
      <c r="AD40" s="106">
        <v>308.34199999999998</v>
      </c>
      <c r="AE40" s="127">
        <f>AB40/F40</f>
        <v>35.36033333333333</v>
      </c>
    </row>
    <row r="41" spans="1:31" s="105" customFormat="1">
      <c r="A41" s="97">
        <f t="shared" si="0"/>
        <v>35</v>
      </c>
      <c r="B41" s="98" t="s">
        <v>78</v>
      </c>
      <c r="C41" s="98" t="s">
        <v>75</v>
      </c>
      <c r="D41" s="99">
        <v>20</v>
      </c>
      <c r="E41" s="99"/>
      <c r="F41" s="100">
        <f>[3]МКД!$H$93</f>
        <v>20</v>
      </c>
      <c r="G41" s="101">
        <f>H41+I41</f>
        <v>554.63463000000002</v>
      </c>
      <c r="H41" s="110">
        <f>421743.25/1000</f>
        <v>421.74324999999999</v>
      </c>
      <c r="I41" s="110">
        <f>132891.38/1000</f>
        <v>132.89138</v>
      </c>
      <c r="J41" s="101">
        <f>K41+L41</f>
        <v>631.22991000000002</v>
      </c>
      <c r="K41" s="110">
        <f>467001.29/1000</f>
        <v>467.00128999999998</v>
      </c>
      <c r="L41" s="110">
        <f>164228.62/1000</f>
        <v>164.22862000000001</v>
      </c>
      <c r="M41" s="101">
        <f>N41+O41</f>
        <v>614.22173999999995</v>
      </c>
      <c r="N41" s="110">
        <f>454899.23/1000</f>
        <v>454.89922999999999</v>
      </c>
      <c r="O41" s="110">
        <f>159322.51/1000</f>
        <v>159.32251000000002</v>
      </c>
      <c r="P41" s="101">
        <f>Q41+R41</f>
        <v>615.15899999999999</v>
      </c>
      <c r="Q41" s="127">
        <v>439.11900000000003</v>
      </c>
      <c r="R41" s="127">
        <v>176.04</v>
      </c>
      <c r="S41" s="48">
        <f>T41+U41</f>
        <v>636.06999999999994</v>
      </c>
      <c r="T41" s="48">
        <v>471.14</v>
      </c>
      <c r="U41" s="48">
        <v>164.93</v>
      </c>
      <c r="V41" s="48">
        <f>W41+X41</f>
        <v>651.76800000000003</v>
      </c>
      <c r="W41" s="48">
        <v>489.31900000000002</v>
      </c>
      <c r="X41" s="48">
        <v>162.44900000000001</v>
      </c>
      <c r="Y41" s="123">
        <f>Z41+AA41</f>
        <v>669.48900000000003</v>
      </c>
      <c r="Z41" s="108">
        <v>506.74</v>
      </c>
      <c r="AA41" s="108">
        <v>162.749</v>
      </c>
      <c r="AB41" s="125">
        <f>AC41+AD41</f>
        <v>697.55300000000011</v>
      </c>
      <c r="AC41" s="106">
        <v>530.32500000000005</v>
      </c>
      <c r="AD41" s="106">
        <v>167.22800000000001</v>
      </c>
      <c r="AE41" s="127">
        <f>AB41/F41</f>
        <v>34.877650000000003</v>
      </c>
    </row>
    <row r="42" spans="1:31" s="105" customFormat="1">
      <c r="A42" s="97">
        <f t="shared" si="0"/>
        <v>36</v>
      </c>
      <c r="B42" s="98" t="s">
        <v>78</v>
      </c>
      <c r="C42" s="98" t="s">
        <v>99</v>
      </c>
      <c r="D42" s="99">
        <v>3</v>
      </c>
      <c r="E42" s="99" t="s">
        <v>21</v>
      </c>
      <c r="F42" s="100">
        <f>[3]МКД!$H$163</f>
        <v>17</v>
      </c>
      <c r="G42" s="101">
        <f>H42+I42</f>
        <v>370.51303000000001</v>
      </c>
      <c r="H42" s="110">
        <f>274449.61/1000</f>
        <v>274.44961000000001</v>
      </c>
      <c r="I42" s="110">
        <f>96063.42/1000</f>
        <v>96.063419999999994</v>
      </c>
      <c r="J42" s="101">
        <f>K42+L42</f>
        <v>451.85649999999998</v>
      </c>
      <c r="K42" s="110">
        <f>356165.13/1000</f>
        <v>356.16512999999998</v>
      </c>
      <c r="L42" s="110">
        <f>95691.37/1000</f>
        <v>95.691369999999992</v>
      </c>
      <c r="M42" s="101">
        <f>N42+O42</f>
        <v>412.20542999999998</v>
      </c>
      <c r="N42" s="110">
        <f>314938.67/1000</f>
        <v>314.93867</v>
      </c>
      <c r="O42" s="110">
        <f>97266.76/1000</f>
        <v>97.266759999999991</v>
      </c>
      <c r="P42" s="101">
        <f>Q42+R42</f>
        <v>669.94200000000001</v>
      </c>
      <c r="Q42" s="127">
        <v>330.05</v>
      </c>
      <c r="R42" s="127">
        <v>339.892</v>
      </c>
      <c r="S42" s="48">
        <f>T42+U42</f>
        <v>579.55999999999995</v>
      </c>
      <c r="T42" s="48">
        <v>339.38</v>
      </c>
      <c r="U42" s="48">
        <v>240.18</v>
      </c>
      <c r="V42" s="48">
        <f>W42+X42</f>
        <v>594.96500000000003</v>
      </c>
      <c r="W42" s="48">
        <v>344.09899999999999</v>
      </c>
      <c r="X42" s="48">
        <v>250.86600000000001</v>
      </c>
      <c r="Y42" s="123">
        <f>Z42+AA42</f>
        <v>599.38700000000006</v>
      </c>
      <c r="Z42" s="108">
        <v>348.52100000000002</v>
      </c>
      <c r="AA42" s="108">
        <v>250.86600000000001</v>
      </c>
      <c r="AB42" s="125">
        <f>AC42+AD42</f>
        <v>590.55600000000004</v>
      </c>
      <c r="AC42" s="125">
        <v>321.31799999999998</v>
      </c>
      <c r="AD42" s="106">
        <v>269.238</v>
      </c>
      <c r="AE42" s="127">
        <f>AB42/F42</f>
        <v>34.738588235294117</v>
      </c>
    </row>
    <row r="43" spans="1:31" s="105" customFormat="1">
      <c r="A43" s="97">
        <f t="shared" si="0"/>
        <v>37</v>
      </c>
      <c r="B43" s="98" t="s">
        <v>78</v>
      </c>
      <c r="C43" s="98" t="s">
        <v>24</v>
      </c>
      <c r="D43" s="99">
        <v>18</v>
      </c>
      <c r="E43" s="99"/>
      <c r="F43" s="100">
        <f>[2]МКД!$H$31</f>
        <v>33</v>
      </c>
      <c r="G43" s="101">
        <f>H43+I43</f>
        <v>950.93876</v>
      </c>
      <c r="H43" s="110">
        <f>380685.32/1000</f>
        <v>380.68531999999999</v>
      </c>
      <c r="I43" s="110">
        <f>570253.44/1000</f>
        <v>570.25343999999996</v>
      </c>
      <c r="J43" s="101">
        <f>K43+L43</f>
        <v>1063.4835</v>
      </c>
      <c r="K43" s="110">
        <f>420425.9/1000</f>
        <v>420.42590000000001</v>
      </c>
      <c r="L43" s="110">
        <f>643057.6/1000</f>
        <v>643.05759999999998</v>
      </c>
      <c r="M43" s="101">
        <f>N43+O43</f>
        <v>1050.35005</v>
      </c>
      <c r="N43" s="110">
        <f>431283.78/1000</f>
        <v>431.28378000000004</v>
      </c>
      <c r="O43" s="110">
        <f>619066.27/1000</f>
        <v>619.06627000000003</v>
      </c>
      <c r="P43" s="101">
        <f>Q43+R43</f>
        <v>1080.2829999999999</v>
      </c>
      <c r="Q43" s="127">
        <v>387.03300000000002</v>
      </c>
      <c r="R43" s="127">
        <v>693.25</v>
      </c>
      <c r="S43" s="48">
        <f>T43+U43</f>
        <v>1159.7</v>
      </c>
      <c r="T43" s="48">
        <v>436.97</v>
      </c>
      <c r="U43" s="48">
        <v>722.73</v>
      </c>
      <c r="V43" s="48">
        <f>W43+X43</f>
        <v>1178.9860000000001</v>
      </c>
      <c r="W43" s="48">
        <v>434.839</v>
      </c>
      <c r="X43" s="48">
        <v>744.14700000000005</v>
      </c>
      <c r="Y43" s="123">
        <f>Z43+AA43</f>
        <v>1186.4880000000001</v>
      </c>
      <c r="Z43" s="108">
        <v>442.34100000000001</v>
      </c>
      <c r="AA43" s="108">
        <v>744.14700000000005</v>
      </c>
      <c r="AB43" s="125">
        <f>AC43+AD43</f>
        <v>1140.3150000000001</v>
      </c>
      <c r="AC43" s="106">
        <v>410.72500000000002</v>
      </c>
      <c r="AD43" s="106">
        <v>729.59</v>
      </c>
      <c r="AE43" s="127">
        <f>AB43/F43</f>
        <v>34.555</v>
      </c>
    </row>
    <row r="44" spans="1:31" s="105" customFormat="1">
      <c r="A44" s="97">
        <f t="shared" si="0"/>
        <v>38</v>
      </c>
      <c r="B44" s="98" t="s">
        <v>78</v>
      </c>
      <c r="C44" s="98" t="s">
        <v>98</v>
      </c>
      <c r="D44" s="99">
        <v>26</v>
      </c>
      <c r="E44" s="99"/>
      <c r="F44" s="100">
        <f>[3]МКД!$H$149</f>
        <v>12</v>
      </c>
      <c r="G44" s="101">
        <f>H44+I44</f>
        <v>417.99843999999996</v>
      </c>
      <c r="H44" s="110">
        <f>169571.29/1000</f>
        <v>169.57129</v>
      </c>
      <c r="I44" s="110">
        <f>248427.15/1000</f>
        <v>248.42714999999998</v>
      </c>
      <c r="J44" s="101">
        <f>K44+L44</f>
        <v>492.07650999999998</v>
      </c>
      <c r="K44" s="110">
        <f>199405.65/1000</f>
        <v>199.40564999999998</v>
      </c>
      <c r="L44" s="110">
        <f>292670.86/1000</f>
        <v>292.67086</v>
      </c>
      <c r="M44" s="101">
        <f>N44+O44</f>
        <v>443.08528000000001</v>
      </c>
      <c r="N44" s="110">
        <f>188719.84/1000</f>
        <v>188.71984</v>
      </c>
      <c r="O44" s="110">
        <f>254365.44/1000</f>
        <v>254.36544000000001</v>
      </c>
      <c r="P44" s="101">
        <f>Q44+R44</f>
        <v>409.32099999999997</v>
      </c>
      <c r="Q44" s="127">
        <v>139.61099999999999</v>
      </c>
      <c r="R44" s="127">
        <v>269.70999999999998</v>
      </c>
      <c r="S44" s="48">
        <f>T44+U44</f>
        <v>430.99</v>
      </c>
      <c r="T44" s="48">
        <v>168.38</v>
      </c>
      <c r="U44" s="48">
        <v>262.61</v>
      </c>
      <c r="V44" s="48">
        <f>W44+X44</f>
        <v>449.62199999999996</v>
      </c>
      <c r="W44" s="48">
        <v>164.56800000000001</v>
      </c>
      <c r="X44" s="48">
        <v>285.05399999999997</v>
      </c>
      <c r="Y44" s="123">
        <f>Z44+AA44</f>
        <v>443.17899999999997</v>
      </c>
      <c r="Z44" s="108">
        <v>158.125</v>
      </c>
      <c r="AA44" s="108">
        <v>285.05399999999997</v>
      </c>
      <c r="AB44" s="125">
        <f>AC44+AD44</f>
        <v>412.31799999999998</v>
      </c>
      <c r="AC44" s="106">
        <v>112.565</v>
      </c>
      <c r="AD44" s="106">
        <v>299.75299999999999</v>
      </c>
      <c r="AE44" s="127">
        <f>AB44/F44</f>
        <v>34.359833333333334</v>
      </c>
    </row>
    <row r="45" spans="1:31" s="105" customFormat="1">
      <c r="A45" s="97">
        <f t="shared" si="0"/>
        <v>39</v>
      </c>
      <c r="B45" s="98" t="s">
        <v>78</v>
      </c>
      <c r="C45" s="98" t="s">
        <v>38</v>
      </c>
      <c r="D45" s="99">
        <v>10</v>
      </c>
      <c r="E45" s="99"/>
      <c r="F45" s="100">
        <f>[3]МКД!$H$96</f>
        <v>8</v>
      </c>
      <c r="G45" s="101">
        <f>H45+I45</f>
        <v>213.82518999999999</v>
      </c>
      <c r="H45" s="110">
        <f>79971.68/1000</f>
        <v>79.971679999999992</v>
      </c>
      <c r="I45" s="110">
        <f>133853.51/1000</f>
        <v>133.85351</v>
      </c>
      <c r="J45" s="101">
        <f>K45+L45</f>
        <v>222.46992</v>
      </c>
      <c r="K45" s="110">
        <f>98718.39/1000</f>
        <v>98.718389999999999</v>
      </c>
      <c r="L45" s="110">
        <f>123751.53/1000</f>
        <v>123.75153</v>
      </c>
      <c r="M45" s="101">
        <f>N45+O45</f>
        <v>230.61500000000001</v>
      </c>
      <c r="N45" s="110">
        <f>112059.31/1000</f>
        <v>112.05931</v>
      </c>
      <c r="O45" s="110">
        <f>118555.69/1000</f>
        <v>118.55569</v>
      </c>
      <c r="P45" s="101">
        <f>Q45+R45</f>
        <v>267.85300000000001</v>
      </c>
      <c r="Q45" s="127">
        <v>121.83</v>
      </c>
      <c r="R45" s="127">
        <v>146.023</v>
      </c>
      <c r="S45" s="48">
        <f>T45+U45</f>
        <v>285.52999999999997</v>
      </c>
      <c r="T45" s="48">
        <v>113.91</v>
      </c>
      <c r="U45" s="48">
        <v>171.62</v>
      </c>
      <c r="V45" s="48">
        <f>W45+X45</f>
        <v>280.37</v>
      </c>
      <c r="W45" s="48">
        <v>115.121</v>
      </c>
      <c r="X45" s="48">
        <v>165.249</v>
      </c>
      <c r="Y45" s="123">
        <f>Z45+AA45</f>
        <v>291.23699999999997</v>
      </c>
      <c r="Z45" s="108">
        <v>121.53100000000001</v>
      </c>
      <c r="AA45" s="108">
        <v>169.70599999999999</v>
      </c>
      <c r="AB45" s="125">
        <f>AC45+AD45</f>
        <v>273.05</v>
      </c>
      <c r="AC45" s="106">
        <v>106.479</v>
      </c>
      <c r="AD45" s="106">
        <v>166.571</v>
      </c>
      <c r="AE45" s="127">
        <f>AB45/F45</f>
        <v>34.131250000000001</v>
      </c>
    </row>
    <row r="46" spans="1:31" s="105" customFormat="1">
      <c r="A46" s="97">
        <f t="shared" si="0"/>
        <v>40</v>
      </c>
      <c r="B46" s="98" t="s">
        <v>78</v>
      </c>
      <c r="C46" s="98" t="s">
        <v>81</v>
      </c>
      <c r="D46" s="99">
        <v>48</v>
      </c>
      <c r="E46" s="99"/>
      <c r="F46" s="100">
        <f>[2]МКД!$H$20</f>
        <v>12</v>
      </c>
      <c r="G46" s="101">
        <f>H46+I46</f>
        <v>213.42690000000002</v>
      </c>
      <c r="H46" s="110">
        <f>130260.77/1000</f>
        <v>130.26077000000001</v>
      </c>
      <c r="I46" s="110">
        <f>83166.13/1000</f>
        <v>83.16613000000001</v>
      </c>
      <c r="J46" s="101">
        <f>K46+L46</f>
        <v>262.43003999999996</v>
      </c>
      <c r="K46" s="110">
        <f>142664.03/1000</f>
        <v>142.66403</v>
      </c>
      <c r="L46" s="110">
        <f>119766.01/1000</f>
        <v>119.76600999999999</v>
      </c>
      <c r="M46" s="101">
        <f>N46+O46</f>
        <v>270.17674</v>
      </c>
      <c r="N46" s="110">
        <f>145160.51/1000</f>
        <v>145.16051000000002</v>
      </c>
      <c r="O46" s="110">
        <f>125016.23/1000</f>
        <v>125.01622999999999</v>
      </c>
      <c r="P46" s="101">
        <f>Q46+R46</f>
        <v>449.11799999999999</v>
      </c>
      <c r="Q46" s="127">
        <v>221.28700000000001</v>
      </c>
      <c r="R46" s="127">
        <v>227.83099999999999</v>
      </c>
      <c r="S46" s="48">
        <f>T46+U46</f>
        <v>366.3</v>
      </c>
      <c r="T46" s="48">
        <v>216.87</v>
      </c>
      <c r="U46" s="48">
        <v>149.43</v>
      </c>
      <c r="V46" s="48">
        <f>W46+X46</f>
        <v>385.928</v>
      </c>
      <c r="W46" s="48">
        <v>226.58799999999999</v>
      </c>
      <c r="X46" s="48">
        <v>159.34</v>
      </c>
      <c r="Y46" s="123">
        <f>Z46+AA46</f>
        <v>282.50200000000001</v>
      </c>
      <c r="Z46" s="124">
        <v>230.232</v>
      </c>
      <c r="AA46" s="124">
        <v>52.27</v>
      </c>
      <c r="AB46" s="125">
        <f>AC46+AD46</f>
        <v>398.15899999999999</v>
      </c>
      <c r="AC46" s="106">
        <v>231.13200000000001</v>
      </c>
      <c r="AD46" s="106">
        <v>167.02699999999999</v>
      </c>
      <c r="AE46" s="127">
        <f>AB46/F46</f>
        <v>33.179916666666664</v>
      </c>
    </row>
    <row r="47" spans="1:31" s="105" customFormat="1">
      <c r="A47" s="97">
        <f t="shared" si="0"/>
        <v>41</v>
      </c>
      <c r="B47" s="98" t="s">
        <v>78</v>
      </c>
      <c r="C47" s="98" t="s">
        <v>19</v>
      </c>
      <c r="D47" s="99">
        <v>16</v>
      </c>
      <c r="E47" s="99"/>
      <c r="F47" s="100">
        <f>[2]МКД!$H$46</f>
        <v>9</v>
      </c>
      <c r="G47" s="101">
        <f>H47+I47</f>
        <v>644.91381999999999</v>
      </c>
      <c r="H47" s="110">
        <f>388626.88/1000</f>
        <v>388.62688000000003</v>
      </c>
      <c r="I47" s="110">
        <f>256286.94/1000</f>
        <v>256.28694000000002</v>
      </c>
      <c r="J47" s="101">
        <f>K47+L47</f>
        <v>390.77969000000002</v>
      </c>
      <c r="K47" s="110">
        <f>266271.61/1000</f>
        <v>266.27161000000001</v>
      </c>
      <c r="L47" s="110">
        <f>124508.08/1000</f>
        <v>124.50808000000001</v>
      </c>
      <c r="M47" s="101">
        <f>N47+O47</f>
        <v>402.16040000000004</v>
      </c>
      <c r="N47" s="110">
        <f>277678.77/1000</f>
        <v>277.67877000000004</v>
      </c>
      <c r="O47" s="110">
        <f>124481.63/1000</f>
        <v>124.48163000000001</v>
      </c>
      <c r="P47" s="101">
        <f>Q47+R47</f>
        <v>351.56399999999996</v>
      </c>
      <c r="Q47" s="127">
        <v>254.696</v>
      </c>
      <c r="R47" s="127">
        <v>96.867999999999995</v>
      </c>
      <c r="S47" s="48">
        <f>T47+U47</f>
        <v>432.58000000000004</v>
      </c>
      <c r="T47" s="48">
        <v>291.8</v>
      </c>
      <c r="U47" s="48">
        <v>140.78</v>
      </c>
      <c r="V47" s="48">
        <f>W47+X47</f>
        <v>445.262</v>
      </c>
      <c r="W47" s="48">
        <v>295.17500000000001</v>
      </c>
      <c r="X47" s="48">
        <v>150.08699999999999</v>
      </c>
      <c r="Y47" s="123">
        <f>Z47+AA47</f>
        <v>435.27600000000001</v>
      </c>
      <c r="Z47" s="108">
        <v>292.01600000000002</v>
      </c>
      <c r="AA47" s="108">
        <v>143.26</v>
      </c>
      <c r="AB47" s="125">
        <f>AC47+AD47</f>
        <v>291.95799999999997</v>
      </c>
      <c r="AC47" s="106">
        <v>172.15799999999999</v>
      </c>
      <c r="AD47" s="106">
        <v>119.8</v>
      </c>
      <c r="AE47" s="127">
        <f>AB47/F47</f>
        <v>32.439777777777778</v>
      </c>
    </row>
    <row r="48" spans="1:31" s="105" customFormat="1">
      <c r="A48" s="97">
        <f t="shared" si="0"/>
        <v>42</v>
      </c>
      <c r="B48" s="98" t="s">
        <v>78</v>
      </c>
      <c r="C48" s="98" t="s">
        <v>24</v>
      </c>
      <c r="D48" s="99">
        <v>8</v>
      </c>
      <c r="E48" s="99"/>
      <c r="F48" s="100">
        <f>[2]МКД!$H$28</f>
        <v>12</v>
      </c>
      <c r="G48" s="101">
        <f>H48+I48</f>
        <v>256.71713</v>
      </c>
      <c r="H48" s="110">
        <f>111767/1000</f>
        <v>111.767</v>
      </c>
      <c r="I48" s="110">
        <f>144950.13/1000</f>
        <v>144.95013</v>
      </c>
      <c r="J48" s="101">
        <f>K48+L48</f>
        <v>268.12263000000002</v>
      </c>
      <c r="K48" s="110">
        <f>112216.2/1000</f>
        <v>112.2162</v>
      </c>
      <c r="L48" s="110">
        <f>155906.43/1000</f>
        <v>155.90643</v>
      </c>
      <c r="M48" s="101">
        <f>N48+O48</f>
        <v>259.79480999999998</v>
      </c>
      <c r="N48" s="110">
        <f>114804.17/1000</f>
        <v>114.80417</v>
      </c>
      <c r="O48" s="110">
        <f>144990.64/1000</f>
        <v>144.99064000000001</v>
      </c>
      <c r="P48" s="101">
        <f>Q48+R48</f>
        <v>279.10599999999999</v>
      </c>
      <c r="Q48" s="127">
        <v>84.257000000000005</v>
      </c>
      <c r="R48" s="127">
        <v>194.84899999999999</v>
      </c>
      <c r="S48" s="48">
        <f>T48+U48</f>
        <v>326.27</v>
      </c>
      <c r="T48" s="48">
        <v>115.07</v>
      </c>
      <c r="U48" s="48">
        <v>211.2</v>
      </c>
      <c r="V48" s="48">
        <f>W48+X48</f>
        <v>354.73700000000002</v>
      </c>
      <c r="W48" s="48">
        <v>122.133</v>
      </c>
      <c r="X48" s="48">
        <v>232.60400000000001</v>
      </c>
      <c r="Y48" s="123">
        <f>Z48+AA48</f>
        <v>360.25400000000002</v>
      </c>
      <c r="Z48" s="124">
        <v>127.65</v>
      </c>
      <c r="AA48" s="124">
        <v>232.60400000000001</v>
      </c>
      <c r="AB48" s="125">
        <f>AC48+AD48</f>
        <v>385.55899999999997</v>
      </c>
      <c r="AC48" s="106">
        <v>145.35</v>
      </c>
      <c r="AD48" s="106">
        <v>240.209</v>
      </c>
      <c r="AE48" s="127">
        <f>AB48/F48</f>
        <v>32.129916666666666</v>
      </c>
    </row>
    <row r="49" spans="1:31" s="105" customFormat="1">
      <c r="A49" s="97">
        <f t="shared" si="0"/>
        <v>43</v>
      </c>
      <c r="B49" s="98" t="s">
        <v>78</v>
      </c>
      <c r="C49" s="98" t="s">
        <v>99</v>
      </c>
      <c r="D49" s="99">
        <v>5</v>
      </c>
      <c r="E49" s="99" t="s">
        <v>20</v>
      </c>
      <c r="F49" s="100">
        <f>[3]МКД!$H$165</f>
        <v>8</v>
      </c>
      <c r="G49" s="101">
        <f>H49+I49</f>
        <v>160.28200999999999</v>
      </c>
      <c r="H49" s="110">
        <f>67527.42/1000</f>
        <v>67.527419999999992</v>
      </c>
      <c r="I49" s="110">
        <f>92754.59/1000</f>
        <v>92.754589999999993</v>
      </c>
      <c r="J49" s="101">
        <f>K49+L49</f>
        <v>204.97837999999999</v>
      </c>
      <c r="K49" s="110">
        <f>86035.93/1000</f>
        <v>86.035929999999993</v>
      </c>
      <c r="L49" s="110">
        <f>118942.45/1000</f>
        <v>118.94244999999999</v>
      </c>
      <c r="M49" s="101">
        <f>N49+O49</f>
        <v>201.67658</v>
      </c>
      <c r="N49" s="110">
        <f>89494.66/1000</f>
        <v>89.49466000000001</v>
      </c>
      <c r="O49" s="110">
        <f>112181.92/1000</f>
        <v>112.18192000000001</v>
      </c>
      <c r="P49" s="101">
        <f>Q49+R49</f>
        <v>247.94900000000001</v>
      </c>
      <c r="Q49" s="127">
        <v>76.594999999999999</v>
      </c>
      <c r="R49" s="127">
        <v>171.35400000000001</v>
      </c>
      <c r="S49" s="48">
        <f>T49+U49</f>
        <v>254.15</v>
      </c>
      <c r="T49" s="48">
        <v>77.849999999999994</v>
      </c>
      <c r="U49" s="48">
        <v>176.3</v>
      </c>
      <c r="V49" s="48">
        <f>W49+X49</f>
        <v>255.53199999999998</v>
      </c>
      <c r="W49" s="48">
        <v>70.349000000000004</v>
      </c>
      <c r="X49" s="48">
        <v>185.18299999999999</v>
      </c>
      <c r="Y49" s="123">
        <f>Z49+AA49</f>
        <v>256.697</v>
      </c>
      <c r="Z49" s="108">
        <v>72.483999999999995</v>
      </c>
      <c r="AA49" s="108">
        <v>184.21299999999999</v>
      </c>
      <c r="AB49" s="125">
        <f>AC49+AD49</f>
        <v>252.71500000000003</v>
      </c>
      <c r="AC49" s="125">
        <v>69.921000000000006</v>
      </c>
      <c r="AD49" s="106">
        <v>182.79400000000001</v>
      </c>
      <c r="AE49" s="127">
        <f>AB49/F49</f>
        <v>31.589375000000004</v>
      </c>
    </row>
    <row r="50" spans="1:31" s="105" customFormat="1">
      <c r="A50" s="97">
        <f t="shared" si="0"/>
        <v>44</v>
      </c>
      <c r="B50" s="98" t="s">
        <v>78</v>
      </c>
      <c r="C50" s="98" t="s">
        <v>83</v>
      </c>
      <c r="D50" s="99">
        <v>9</v>
      </c>
      <c r="E50" s="99" t="s">
        <v>20</v>
      </c>
      <c r="F50" s="100">
        <f>[2]МКД!$H$33</f>
        <v>26</v>
      </c>
      <c r="G50" s="101">
        <f>H50+I50</f>
        <v>593.14467000000002</v>
      </c>
      <c r="H50" s="110">
        <f>320530.42/1000</f>
        <v>320.53041999999999</v>
      </c>
      <c r="I50" s="110">
        <f>272614.25/1000</f>
        <v>272.61425000000003</v>
      </c>
      <c r="J50" s="101">
        <f>K50+L50</f>
        <v>721.88567000000012</v>
      </c>
      <c r="K50" s="110">
        <f>364525.4/1000</f>
        <v>364.52540000000005</v>
      </c>
      <c r="L50" s="110">
        <f>357360.27/1000</f>
        <v>357.36027000000001</v>
      </c>
      <c r="M50" s="101">
        <f>N50+O50</f>
        <v>732.47136</v>
      </c>
      <c r="N50" s="110">
        <f>379876.61/1000</f>
        <v>379.87660999999997</v>
      </c>
      <c r="O50" s="110">
        <f>352594.75/1000</f>
        <v>352.59474999999998</v>
      </c>
      <c r="P50" s="101">
        <f>Q50+R50</f>
        <v>782.30400000000009</v>
      </c>
      <c r="Q50" s="127">
        <v>377.596</v>
      </c>
      <c r="R50" s="127">
        <v>404.70800000000003</v>
      </c>
      <c r="S50" s="48">
        <f>T50+U50</f>
        <v>851.9</v>
      </c>
      <c r="T50" s="48">
        <v>398.06</v>
      </c>
      <c r="U50" s="48">
        <v>453.84</v>
      </c>
      <c r="V50" s="48">
        <f>W50+X50</f>
        <v>882.12900000000002</v>
      </c>
      <c r="W50" s="48">
        <v>405.79700000000003</v>
      </c>
      <c r="X50" s="48">
        <v>476.33199999999999</v>
      </c>
      <c r="Y50" s="123">
        <f>Z50+AA50</f>
        <v>871.875</v>
      </c>
      <c r="Z50" s="124">
        <v>393.98200000000003</v>
      </c>
      <c r="AA50" s="124">
        <v>477.89299999999997</v>
      </c>
      <c r="AB50" s="125">
        <f>AC50+AD50</f>
        <v>816.43200000000002</v>
      </c>
      <c r="AC50" s="106">
        <v>331.47300000000001</v>
      </c>
      <c r="AD50" s="106">
        <v>484.959</v>
      </c>
      <c r="AE50" s="127">
        <f>AB50/F50</f>
        <v>31.401230769230772</v>
      </c>
    </row>
    <row r="51" spans="1:31" s="105" customFormat="1">
      <c r="A51" s="97">
        <f t="shared" si="0"/>
        <v>45</v>
      </c>
      <c r="B51" s="98" t="s">
        <v>78</v>
      </c>
      <c r="C51" s="98" t="s">
        <v>24</v>
      </c>
      <c r="D51" s="99">
        <v>10</v>
      </c>
      <c r="E51" s="99"/>
      <c r="F51" s="100">
        <f>[2]МКД!$H$29</f>
        <v>20</v>
      </c>
      <c r="G51" s="101">
        <f>H51+I51</f>
        <v>441.05297999999999</v>
      </c>
      <c r="H51" s="110">
        <f>200127.15/1000</f>
        <v>200.12715</v>
      </c>
      <c r="I51" s="110">
        <f>240925.83/1000</f>
        <v>240.92582999999999</v>
      </c>
      <c r="J51" s="101">
        <f>K51+L51</f>
        <v>551.91432999999995</v>
      </c>
      <c r="K51" s="110">
        <f>236981.79/1000</f>
        <v>236.98179000000002</v>
      </c>
      <c r="L51" s="110">
        <f>314932.54/1000</f>
        <v>314.93253999999996</v>
      </c>
      <c r="M51" s="101">
        <f>N51+O51</f>
        <v>494.62877000000003</v>
      </c>
      <c r="N51" s="110">
        <f>224786.78/1000</f>
        <v>224.78677999999999</v>
      </c>
      <c r="O51" s="110">
        <f>269841.99/1000</f>
        <v>269.84199000000001</v>
      </c>
      <c r="P51" s="101">
        <f>Q51+R51</f>
        <v>548.54700000000003</v>
      </c>
      <c r="Q51" s="127">
        <v>218.404</v>
      </c>
      <c r="R51" s="127">
        <v>330.14299999999997</v>
      </c>
      <c r="S51" s="48">
        <f>T51+U51</f>
        <v>595.77</v>
      </c>
      <c r="T51" s="48">
        <v>246.21</v>
      </c>
      <c r="U51" s="48">
        <v>349.56</v>
      </c>
      <c r="V51" s="48">
        <f>W51+X51</f>
        <v>584.75900000000001</v>
      </c>
      <c r="W51" s="48">
        <v>235.91200000000001</v>
      </c>
      <c r="X51" s="48">
        <v>348.84699999999998</v>
      </c>
      <c r="Y51" s="123">
        <f>Z51+AA51</f>
        <v>595.87799999999993</v>
      </c>
      <c r="Z51" s="124">
        <v>247.03100000000001</v>
      </c>
      <c r="AA51" s="124">
        <v>348.84699999999998</v>
      </c>
      <c r="AB51" s="125">
        <f>AC51+AD51</f>
        <v>620.23900000000003</v>
      </c>
      <c r="AC51" s="106">
        <v>254.84100000000001</v>
      </c>
      <c r="AD51" s="126">
        <v>365.39800000000002</v>
      </c>
      <c r="AE51" s="127">
        <f>AB51/F51</f>
        <v>31.011950000000002</v>
      </c>
    </row>
    <row r="52" spans="1:31" s="105" customFormat="1">
      <c r="A52" s="97">
        <f t="shared" si="0"/>
        <v>46</v>
      </c>
      <c r="B52" s="98" t="s">
        <v>78</v>
      </c>
      <c r="C52" s="104" t="s">
        <v>95</v>
      </c>
      <c r="D52" s="99">
        <v>6</v>
      </c>
      <c r="E52" s="99"/>
      <c r="F52" s="100">
        <f>[1]МКД!$H$251</f>
        <v>16</v>
      </c>
      <c r="G52" s="101">
        <f>H52+I52</f>
        <v>0</v>
      </c>
      <c r="H52" s="110">
        <v>0</v>
      </c>
      <c r="I52" s="110"/>
      <c r="J52" s="101">
        <f>K52+L52</f>
        <v>319.63220000000001</v>
      </c>
      <c r="K52" s="110">
        <f>156002.72/1000</f>
        <v>156.00272000000001</v>
      </c>
      <c r="L52" s="110">
        <f>163629.48/1000</f>
        <v>163.62948</v>
      </c>
      <c r="M52" s="101">
        <f>N52+O52</f>
        <v>342.35516999999999</v>
      </c>
      <c r="N52" s="110">
        <f>178510.49/1000</f>
        <v>178.51049</v>
      </c>
      <c r="O52" s="110">
        <f>163844.68/1000</f>
        <v>163.84467999999998</v>
      </c>
      <c r="P52" s="101">
        <f>Q52+R52</f>
        <v>335.14</v>
      </c>
      <c r="Q52" s="127">
        <v>132.18600000000001</v>
      </c>
      <c r="R52" s="127">
        <v>202.95400000000001</v>
      </c>
      <c r="S52" s="48">
        <f>T52+U52</f>
        <v>379.17999999999995</v>
      </c>
      <c r="T52" s="48">
        <v>136.44999999999999</v>
      </c>
      <c r="U52" s="48">
        <v>242.73</v>
      </c>
      <c r="V52" s="48">
        <f>W52+X52</f>
        <v>427.70000000000005</v>
      </c>
      <c r="W52" s="48">
        <v>145.946</v>
      </c>
      <c r="X52" s="48">
        <v>281.75400000000002</v>
      </c>
      <c r="Y52" s="123">
        <f>Z52+AA52</f>
        <v>441.36599999999999</v>
      </c>
      <c r="Z52" s="108">
        <v>160.16499999999999</v>
      </c>
      <c r="AA52" s="108">
        <v>281.20100000000002</v>
      </c>
      <c r="AB52" s="125">
        <f>AC52+AD52</f>
        <v>488.512</v>
      </c>
      <c r="AC52" s="106">
        <v>161.77600000000001</v>
      </c>
      <c r="AD52" s="106">
        <v>326.73599999999999</v>
      </c>
      <c r="AE52" s="127">
        <f>AB52/F52</f>
        <v>30.532</v>
      </c>
    </row>
    <row r="53" spans="1:31" s="105" customFormat="1">
      <c r="A53" s="97">
        <f t="shared" si="0"/>
        <v>47</v>
      </c>
      <c r="B53" s="98" t="s">
        <v>78</v>
      </c>
      <c r="C53" s="98" t="s">
        <v>19</v>
      </c>
      <c r="D53" s="99">
        <v>43</v>
      </c>
      <c r="E53" s="99" t="s">
        <v>20</v>
      </c>
      <c r="F53" s="100">
        <f>[2]МКД!$H$51</f>
        <v>12</v>
      </c>
      <c r="G53" s="101">
        <f>H53+I53</f>
        <v>269.31114000000002</v>
      </c>
      <c r="H53" s="110">
        <f>165796.36/1000</f>
        <v>165.79635999999999</v>
      </c>
      <c r="I53" s="110">
        <f>103514.78/1000</f>
        <v>103.51478</v>
      </c>
      <c r="J53" s="101">
        <f>K53+L53</f>
        <v>281.58662000000004</v>
      </c>
      <c r="K53" s="110">
        <f>169783.97/1000</f>
        <v>169.78397000000001</v>
      </c>
      <c r="L53" s="110">
        <f>111802.65/1000</f>
        <v>111.80265</v>
      </c>
      <c r="M53" s="101">
        <f>N53+O53</f>
        <v>292.79266000000001</v>
      </c>
      <c r="N53" s="110">
        <f>175226.8/1000</f>
        <v>175.2268</v>
      </c>
      <c r="O53" s="110">
        <f>117565.86/1000</f>
        <v>117.56586</v>
      </c>
      <c r="P53" s="101">
        <f>Q53+R53</f>
        <v>326.69900000000001</v>
      </c>
      <c r="Q53" s="127">
        <v>182.96600000000001</v>
      </c>
      <c r="R53" s="127">
        <v>143.733</v>
      </c>
      <c r="S53" s="48">
        <f>T53+U53</f>
        <v>330.75</v>
      </c>
      <c r="T53" s="48">
        <v>178.18</v>
      </c>
      <c r="U53" s="48">
        <v>152.57</v>
      </c>
      <c r="V53" s="48">
        <f>W53+X53</f>
        <v>334.29200000000003</v>
      </c>
      <c r="W53" s="48">
        <v>187.66300000000001</v>
      </c>
      <c r="X53" s="48">
        <v>146.62899999999999</v>
      </c>
      <c r="Y53" s="123">
        <f>Z53+AA53</f>
        <v>333.46899999999999</v>
      </c>
      <c r="Z53" s="124">
        <v>189.274</v>
      </c>
      <c r="AA53" s="124">
        <v>144.19499999999999</v>
      </c>
      <c r="AB53" s="125">
        <f>AC53+AD53</f>
        <v>353.96199999999999</v>
      </c>
      <c r="AC53" s="106">
        <v>197.666</v>
      </c>
      <c r="AD53" s="106">
        <v>156.29599999999999</v>
      </c>
      <c r="AE53" s="127">
        <f>AB53/F53</f>
        <v>29.496833333333331</v>
      </c>
    </row>
    <row r="54" spans="1:31" s="105" customFormat="1">
      <c r="A54" s="97">
        <f t="shared" si="0"/>
        <v>48</v>
      </c>
      <c r="B54" s="98" t="s">
        <v>78</v>
      </c>
      <c r="C54" s="98" t="s">
        <v>38</v>
      </c>
      <c r="D54" s="99">
        <v>28</v>
      </c>
      <c r="E54" s="99" t="s">
        <v>20</v>
      </c>
      <c r="F54" s="100">
        <f>[3]МКД!$H$102</f>
        <v>12</v>
      </c>
      <c r="G54" s="101">
        <f>H54+I54</f>
        <v>183.51208</v>
      </c>
      <c r="H54" s="110">
        <f>172567.19/1000</f>
        <v>172.56719000000001</v>
      </c>
      <c r="I54" s="110">
        <f>10944.89/1000</f>
        <v>10.944889999999999</v>
      </c>
      <c r="J54" s="101">
        <f>K54+L54</f>
        <v>251.92314000000002</v>
      </c>
      <c r="K54" s="110">
        <f>228438.39/1000</f>
        <v>228.43839000000003</v>
      </c>
      <c r="L54" s="110">
        <f>23484.75/1000</f>
        <v>23.484749999999998</v>
      </c>
      <c r="M54" s="101">
        <f>N54+O54</f>
        <v>271.97003000000001</v>
      </c>
      <c r="N54" s="110">
        <f>245254.19/1000</f>
        <v>245.25418999999999</v>
      </c>
      <c r="O54" s="110">
        <f>26715.84/1000</f>
        <v>26.71584</v>
      </c>
      <c r="P54" s="101">
        <f>Q54+R54</f>
        <v>301.548</v>
      </c>
      <c r="Q54" s="127">
        <v>199.167</v>
      </c>
      <c r="R54" s="127">
        <v>102.381</v>
      </c>
      <c r="S54" s="48">
        <f>T54+U54</f>
        <v>304.77</v>
      </c>
      <c r="T54" s="48">
        <v>205.03</v>
      </c>
      <c r="U54" s="48">
        <v>99.74</v>
      </c>
      <c r="V54" s="48">
        <f>W54+X54</f>
        <v>322.85400000000004</v>
      </c>
      <c r="W54" s="48">
        <v>210.21700000000001</v>
      </c>
      <c r="X54" s="48">
        <v>112.637</v>
      </c>
      <c r="Y54" s="123">
        <f>Z54+AA54</f>
        <v>323.74099999999999</v>
      </c>
      <c r="Z54" s="108">
        <v>215.15600000000001</v>
      </c>
      <c r="AA54" s="108">
        <v>108.58499999999999</v>
      </c>
      <c r="AB54" s="125">
        <f>AC54+AD54</f>
        <v>350.43899999999996</v>
      </c>
      <c r="AC54" s="106">
        <v>222.73099999999999</v>
      </c>
      <c r="AD54" s="106">
        <v>127.708</v>
      </c>
      <c r="AE54" s="127">
        <f>AB54/F54</f>
        <v>29.203249999999997</v>
      </c>
    </row>
    <row r="55" spans="1:31" s="105" customFormat="1">
      <c r="A55" s="97">
        <f t="shared" si="0"/>
        <v>49</v>
      </c>
      <c r="B55" s="98" t="s">
        <v>78</v>
      </c>
      <c r="C55" s="98" t="s">
        <v>98</v>
      </c>
      <c r="D55" s="99">
        <v>43</v>
      </c>
      <c r="E55" s="99"/>
      <c r="F55" s="100">
        <f>[3]МКД!$H$155</f>
        <v>27</v>
      </c>
      <c r="G55" s="101">
        <f>H55+I55</f>
        <v>635.93113000000005</v>
      </c>
      <c r="H55" s="110">
        <f>256905.63/1000</f>
        <v>256.90563000000003</v>
      </c>
      <c r="I55" s="110">
        <f>379025.5/1000</f>
        <v>379.02550000000002</v>
      </c>
      <c r="J55" s="101">
        <f>K55+L55</f>
        <v>764.84100999999998</v>
      </c>
      <c r="K55" s="110">
        <f>302186.96/1000</f>
        <v>302.18696</v>
      </c>
      <c r="L55" s="110">
        <f>462654.05/1000</f>
        <v>462.65404999999998</v>
      </c>
      <c r="M55" s="101">
        <f>N55+O55</f>
        <v>752.61428000000001</v>
      </c>
      <c r="N55" s="110">
        <f>307445.29/1000</f>
        <v>307.44529</v>
      </c>
      <c r="O55" s="110">
        <f>445168.99/1000</f>
        <v>445.16899000000001</v>
      </c>
      <c r="P55" s="101">
        <f>Q55+R55</f>
        <v>689.47900000000004</v>
      </c>
      <c r="Q55" s="127">
        <v>179.13800000000001</v>
      </c>
      <c r="R55" s="127">
        <v>510.34100000000001</v>
      </c>
      <c r="S55" s="48">
        <f>T55+U55</f>
        <v>856.1</v>
      </c>
      <c r="T55" s="48">
        <v>182.02</v>
      </c>
      <c r="U55" s="48">
        <v>674.08</v>
      </c>
      <c r="V55" s="48">
        <f>W55+X55</f>
        <v>619.99599999999998</v>
      </c>
      <c r="W55" s="48">
        <v>164.74799999999999</v>
      </c>
      <c r="X55" s="48">
        <f>673.058-217.81</f>
        <v>455.24799999999999</v>
      </c>
      <c r="Y55" s="123">
        <f>Z55+AA55</f>
        <v>959.51299999999992</v>
      </c>
      <c r="Z55" s="108">
        <v>286.45499999999998</v>
      </c>
      <c r="AA55" s="108">
        <v>673.05799999999999</v>
      </c>
      <c r="AB55" s="125">
        <f>AC55+AD55</f>
        <v>764.529</v>
      </c>
      <c r="AC55" s="106">
        <v>238.30699999999999</v>
      </c>
      <c r="AD55" s="106">
        <v>526.22199999999998</v>
      </c>
      <c r="AE55" s="127">
        <f>AB55/F55</f>
        <v>28.315888888888889</v>
      </c>
    </row>
    <row r="56" spans="1:31" s="105" customFormat="1">
      <c r="A56" s="97">
        <f t="shared" si="0"/>
        <v>50</v>
      </c>
      <c r="B56" s="98" t="s">
        <v>78</v>
      </c>
      <c r="C56" s="98" t="s">
        <v>88</v>
      </c>
      <c r="D56" s="99">
        <v>12</v>
      </c>
      <c r="E56" s="99"/>
      <c r="F56" s="100">
        <f>[2]МКД!$H$68</f>
        <v>12</v>
      </c>
      <c r="G56" s="101">
        <f>H56+I56</f>
        <v>285.13848999999999</v>
      </c>
      <c r="H56" s="110">
        <f>139514.21/1000</f>
        <v>139.51420999999999</v>
      </c>
      <c r="I56" s="110">
        <f>145624.28/1000</f>
        <v>145.62428</v>
      </c>
      <c r="J56" s="101">
        <f>K56+L56</f>
        <v>268.91469000000001</v>
      </c>
      <c r="K56" s="110">
        <f>132987.52/1000</f>
        <v>132.98751999999999</v>
      </c>
      <c r="L56" s="110">
        <f>135927.17/1000</f>
        <v>135.92717000000002</v>
      </c>
      <c r="M56" s="101">
        <f>N56+O56</f>
        <v>262.52361000000002</v>
      </c>
      <c r="N56" s="110">
        <f>144131.29/1000</f>
        <v>144.13129000000001</v>
      </c>
      <c r="O56" s="110">
        <f>118392.32/1000</f>
        <v>118.39232000000001</v>
      </c>
      <c r="P56" s="101">
        <f>Q56+R56</f>
        <v>260.274</v>
      </c>
      <c r="Q56" s="127">
        <v>89.591999999999999</v>
      </c>
      <c r="R56" s="127">
        <v>170.68199999999999</v>
      </c>
      <c r="S56" s="48">
        <f>T56+U56</f>
        <v>296.32</v>
      </c>
      <c r="T56" s="48">
        <v>87.98</v>
      </c>
      <c r="U56" s="48">
        <v>208.34</v>
      </c>
      <c r="V56" s="48">
        <f>W56+X56</f>
        <v>316.149</v>
      </c>
      <c r="W56" s="48">
        <v>89.878</v>
      </c>
      <c r="X56" s="48">
        <v>226.27099999999999</v>
      </c>
      <c r="Y56" s="123">
        <f>Z56+AA56</f>
        <v>320.99200000000002</v>
      </c>
      <c r="Z56" s="124">
        <v>94.177000000000007</v>
      </c>
      <c r="AA56" s="124">
        <v>226.815</v>
      </c>
      <c r="AB56" s="125">
        <f>AC56+AD56</f>
        <v>338.44900000000001</v>
      </c>
      <c r="AC56" s="106">
        <v>89.477000000000004</v>
      </c>
      <c r="AD56" s="106">
        <v>248.97200000000001</v>
      </c>
      <c r="AE56" s="127">
        <f>AB56/F56</f>
        <v>28.204083333333333</v>
      </c>
    </row>
    <row r="57" spans="1:31" s="105" customFormat="1">
      <c r="A57" s="97">
        <f t="shared" si="0"/>
        <v>51</v>
      </c>
      <c r="B57" s="98" t="s">
        <v>78</v>
      </c>
      <c r="C57" s="98" t="s">
        <v>24</v>
      </c>
      <c r="D57" s="99">
        <v>12</v>
      </c>
      <c r="E57" s="99"/>
      <c r="F57" s="107">
        <f>[2]МКД!$H$30</f>
        <v>20</v>
      </c>
      <c r="G57" s="101">
        <f>H57+I57</f>
        <v>384.36901</v>
      </c>
      <c r="H57" s="110">
        <f>163625.01/1000</f>
        <v>163.62501</v>
      </c>
      <c r="I57" s="110">
        <f>220744/1000</f>
        <v>220.744</v>
      </c>
      <c r="J57" s="101">
        <f>K57+L57</f>
        <v>384.98380000000003</v>
      </c>
      <c r="K57" s="110">
        <f>167709.85/1000</f>
        <v>167.70985000000002</v>
      </c>
      <c r="L57" s="110">
        <f>217273.95/1000</f>
        <v>217.27395000000001</v>
      </c>
      <c r="M57" s="101">
        <f>N57+O57</f>
        <v>376.31858999999997</v>
      </c>
      <c r="N57" s="110">
        <f>173674.77/1000</f>
        <v>173.67477</v>
      </c>
      <c r="O57" s="110">
        <f>202643.82/1000</f>
        <v>202.64382000000001</v>
      </c>
      <c r="P57" s="101">
        <f>Q57+R57</f>
        <v>383.50099999999998</v>
      </c>
      <c r="Q57" s="127">
        <v>174.749</v>
      </c>
      <c r="R57" s="127">
        <v>208.75200000000001</v>
      </c>
      <c r="S57" s="48">
        <f>T57+U57</f>
        <v>450.11</v>
      </c>
      <c r="T57" s="48">
        <v>193.39</v>
      </c>
      <c r="U57" s="48">
        <v>256.72000000000003</v>
      </c>
      <c r="V57" s="48">
        <f>W57+X57</f>
        <v>466.358</v>
      </c>
      <c r="W57" s="48">
        <v>197.09100000000001</v>
      </c>
      <c r="X57" s="48">
        <v>269.267</v>
      </c>
      <c r="Y57" s="123">
        <f>Z57+AA57</f>
        <v>474.72799999999995</v>
      </c>
      <c r="Z57" s="124">
        <v>205.535</v>
      </c>
      <c r="AA57" s="124">
        <v>269.19299999999998</v>
      </c>
      <c r="AB57" s="125">
        <f>AC57+AD57</f>
        <v>502.43900000000002</v>
      </c>
      <c r="AC57" s="106">
        <v>197.70699999999999</v>
      </c>
      <c r="AD57" s="106">
        <v>304.73200000000003</v>
      </c>
      <c r="AE57" s="127">
        <f>AB57/F57</f>
        <v>25.121950000000002</v>
      </c>
    </row>
    <row r="58" spans="1:31" s="105" customFormat="1">
      <c r="A58" s="97">
        <f t="shared" si="0"/>
        <v>52</v>
      </c>
      <c r="B58" s="98" t="s">
        <v>78</v>
      </c>
      <c r="C58" s="98" t="s">
        <v>90</v>
      </c>
      <c r="D58" s="99">
        <v>8</v>
      </c>
      <c r="E58" s="99"/>
      <c r="F58" s="100">
        <f>[3]МКД!$H$105</f>
        <v>8</v>
      </c>
      <c r="G58" s="101">
        <f>H58+I58</f>
        <v>124.7132</v>
      </c>
      <c r="H58" s="110">
        <f>54162.1/1000</f>
        <v>54.162099999999995</v>
      </c>
      <c r="I58" s="110">
        <f>70551.1/1000</f>
        <v>70.551100000000005</v>
      </c>
      <c r="J58" s="101">
        <f>K58+L58</f>
        <v>173.92417</v>
      </c>
      <c r="K58" s="110">
        <f>73016.31/1000</f>
        <v>73.016310000000004</v>
      </c>
      <c r="L58" s="110">
        <f>100907.86/1000</f>
        <v>100.90786</v>
      </c>
      <c r="M58" s="101">
        <f>N58+O58</f>
        <v>152.65571</v>
      </c>
      <c r="N58" s="110">
        <f>71515.76/1000</f>
        <v>71.51576</v>
      </c>
      <c r="O58" s="110">
        <f>81139.95/1000</f>
        <v>81.139949999999999</v>
      </c>
      <c r="P58" s="101">
        <f>Q58+R58</f>
        <v>176.78199999999998</v>
      </c>
      <c r="Q58" s="127">
        <v>72.453999999999994</v>
      </c>
      <c r="R58" s="127">
        <v>104.328</v>
      </c>
      <c r="S58" s="48">
        <f>T58+U58</f>
        <v>193.12</v>
      </c>
      <c r="T58" s="48">
        <v>74.28</v>
      </c>
      <c r="U58" s="48">
        <v>118.84</v>
      </c>
      <c r="V58" s="48">
        <f>W58+X58</f>
        <v>203.46100000000001</v>
      </c>
      <c r="W58" s="48">
        <f>78.633-1.36</f>
        <v>77.272999999999996</v>
      </c>
      <c r="X58" s="48">
        <v>126.188</v>
      </c>
      <c r="Y58" s="123">
        <f>Z58+AA58</f>
        <v>204.81799999999998</v>
      </c>
      <c r="Z58" s="108">
        <v>78.63</v>
      </c>
      <c r="AA58" s="108">
        <v>126.188</v>
      </c>
      <c r="AB58" s="125">
        <f>AC58+AD58</f>
        <v>199.20099999999999</v>
      </c>
      <c r="AC58" s="125">
        <v>75.228999999999999</v>
      </c>
      <c r="AD58" s="106">
        <v>123.97199999999999</v>
      </c>
      <c r="AE58" s="127">
        <f>AB58/F58</f>
        <v>24.900124999999999</v>
      </c>
    </row>
    <row r="59" spans="1:31" s="105" customFormat="1">
      <c r="A59" s="97">
        <f t="shared" si="0"/>
        <v>53</v>
      </c>
      <c r="B59" s="98" t="s">
        <v>78</v>
      </c>
      <c r="C59" s="98" t="s">
        <v>85</v>
      </c>
      <c r="D59" s="99">
        <v>12</v>
      </c>
      <c r="E59" s="99" t="s">
        <v>20</v>
      </c>
      <c r="F59" s="100">
        <f>[2]МКД!$H$43</f>
        <v>12</v>
      </c>
      <c r="G59" s="101">
        <f>H59+I59</f>
        <v>143.58751000000001</v>
      </c>
      <c r="H59" s="110">
        <f>64578.61/1000</f>
        <v>64.578609999999998</v>
      </c>
      <c r="I59" s="110">
        <f>79008.9/1000</f>
        <v>79.008899999999997</v>
      </c>
      <c r="J59" s="101">
        <f>K59+L59</f>
        <v>181.95146</v>
      </c>
      <c r="K59" s="110">
        <f>94743.87/1000</f>
        <v>94.743870000000001</v>
      </c>
      <c r="L59" s="110">
        <f>87207.59/1000</f>
        <v>87.207589999999996</v>
      </c>
      <c r="M59" s="101">
        <f>N59+O59</f>
        <v>163.93254999999999</v>
      </c>
      <c r="N59" s="110">
        <f>101976.51/1000</f>
        <v>101.97650999999999</v>
      </c>
      <c r="O59" s="110">
        <f>61956.04/1000</f>
        <v>61.956040000000002</v>
      </c>
      <c r="P59" s="101">
        <f>Q59+R59</f>
        <v>192.46</v>
      </c>
      <c r="Q59" s="127">
        <v>57.014000000000003</v>
      </c>
      <c r="R59" s="127">
        <v>135.446</v>
      </c>
      <c r="S59" s="48">
        <f>T59+U59</f>
        <v>250.29000000000002</v>
      </c>
      <c r="T59" s="48">
        <v>59.2</v>
      </c>
      <c r="U59" s="48">
        <v>191.09</v>
      </c>
      <c r="V59" s="48">
        <f>W59+X59</f>
        <v>265.84399999999999</v>
      </c>
      <c r="W59" s="48">
        <v>61.277000000000001</v>
      </c>
      <c r="X59" s="48">
        <v>204.56700000000001</v>
      </c>
      <c r="Y59" s="123">
        <f>Z59+AA59</f>
        <v>267.92</v>
      </c>
      <c r="Z59" s="124">
        <v>63.353000000000002</v>
      </c>
      <c r="AA59" s="124">
        <v>204.56700000000001</v>
      </c>
      <c r="AB59" s="125">
        <f>AC59+AD59</f>
        <v>292.42099999999999</v>
      </c>
      <c r="AC59" s="125">
        <v>64.531999999999996</v>
      </c>
      <c r="AD59" s="106">
        <v>227.88900000000001</v>
      </c>
      <c r="AE59" s="127">
        <f>AB59/F59</f>
        <v>24.368416666666665</v>
      </c>
    </row>
    <row r="60" spans="1:31" s="105" customFormat="1">
      <c r="A60" s="97">
        <f t="shared" si="0"/>
        <v>54</v>
      </c>
      <c r="B60" s="98" t="s">
        <v>78</v>
      </c>
      <c r="C60" s="98" t="s">
        <v>74</v>
      </c>
      <c r="D60" s="99">
        <v>2</v>
      </c>
      <c r="E60" s="99"/>
      <c r="F60" s="100">
        <f>[3]МКД!$H$75</f>
        <v>24</v>
      </c>
      <c r="G60" s="101">
        <f>H60+I60</f>
        <v>518.92228999999998</v>
      </c>
      <c r="H60" s="110">
        <f>143341.61/1000</f>
        <v>143.34160999999997</v>
      </c>
      <c r="I60" s="110">
        <f>375580.68/1000</f>
        <v>375.58067999999997</v>
      </c>
      <c r="J60" s="101">
        <f>K60+L60</f>
        <v>510.20745999999997</v>
      </c>
      <c r="K60" s="110">
        <f>140188.48/1000</f>
        <v>140.18848</v>
      </c>
      <c r="L60" s="110">
        <f>370018.98/1000</f>
        <v>370.01898</v>
      </c>
      <c r="M60" s="101">
        <f>N60+O60</f>
        <v>497.81299000000001</v>
      </c>
      <c r="N60" s="110">
        <f>145069.36/1000</f>
        <v>145.06935999999999</v>
      </c>
      <c r="O60" s="110">
        <f>352743.63/1000</f>
        <v>352.74363</v>
      </c>
      <c r="P60" s="101">
        <f>Q60+R60</f>
        <v>500.56</v>
      </c>
      <c r="Q60" s="127">
        <v>147.56299999999999</v>
      </c>
      <c r="R60" s="127">
        <v>352.99700000000001</v>
      </c>
      <c r="S60" s="48">
        <f>T60+U60</f>
        <v>592.42999999999995</v>
      </c>
      <c r="T60" s="48">
        <v>173.29</v>
      </c>
      <c r="U60" s="48">
        <v>419.14</v>
      </c>
      <c r="V60" s="48">
        <f>W60+X60</f>
        <v>556.678</v>
      </c>
      <c r="W60" s="48">
        <v>162.685</v>
      </c>
      <c r="X60" s="48">
        <v>393.99299999999999</v>
      </c>
      <c r="Y60" s="123">
        <f>Z60+AA60</f>
        <v>565.69600000000003</v>
      </c>
      <c r="Z60" s="108">
        <v>174.286</v>
      </c>
      <c r="AA60" s="108">
        <v>391.41</v>
      </c>
      <c r="AB60" s="125">
        <f>AC60+AD60</f>
        <v>580.23800000000006</v>
      </c>
      <c r="AC60" s="106">
        <v>173.89500000000001</v>
      </c>
      <c r="AD60" s="106">
        <v>406.34300000000002</v>
      </c>
      <c r="AE60" s="127">
        <f>AB60/F60</f>
        <v>24.176583333333337</v>
      </c>
    </row>
    <row r="61" spans="1:31" s="105" customFormat="1">
      <c r="A61" s="97">
        <f t="shared" si="0"/>
        <v>55</v>
      </c>
      <c r="B61" s="98" t="s">
        <v>78</v>
      </c>
      <c r="C61" s="98" t="s">
        <v>74</v>
      </c>
      <c r="D61" s="99">
        <v>3</v>
      </c>
      <c r="E61" s="99"/>
      <c r="F61" s="100">
        <f>[3]МКД!$H$76</f>
        <v>72</v>
      </c>
      <c r="G61" s="101">
        <f>H61+I61</f>
        <v>1273.8188500000001</v>
      </c>
      <c r="H61" s="110">
        <f>616111.85/1000</f>
        <v>616.11185</v>
      </c>
      <c r="I61" s="110">
        <f>657707/1000</f>
        <v>657.70699999999999</v>
      </c>
      <c r="J61" s="101">
        <f>K61+L61</f>
        <v>1817.18993</v>
      </c>
      <c r="K61" s="110">
        <f>713448.8/1000</f>
        <v>713.44880000000001</v>
      </c>
      <c r="L61" s="110">
        <f>1103741.13/1000</f>
        <v>1103.7411299999999</v>
      </c>
      <c r="M61" s="101">
        <f>N61+O61</f>
        <v>1921.74827</v>
      </c>
      <c r="N61" s="110">
        <f>776444.46/1000</f>
        <v>776.44445999999994</v>
      </c>
      <c r="O61" s="110">
        <f>1145303.81/1000</f>
        <v>1145.3038100000001</v>
      </c>
      <c r="P61" s="101">
        <f>Q61+R61</f>
        <v>1580.7739999999999</v>
      </c>
      <c r="Q61" s="127">
        <v>732.61500000000001</v>
      </c>
      <c r="R61" s="127">
        <v>848.15899999999999</v>
      </c>
      <c r="S61" s="48">
        <f>T61+U61</f>
        <v>1760.7</v>
      </c>
      <c r="T61" s="48">
        <v>863.19</v>
      </c>
      <c r="U61" s="48">
        <v>897.51</v>
      </c>
      <c r="V61" s="48">
        <f>W61+X61</f>
        <v>1793.3209999999999</v>
      </c>
      <c r="W61" s="48">
        <v>843.22299999999996</v>
      </c>
      <c r="X61" s="48">
        <v>950.09799999999996</v>
      </c>
      <c r="Y61" s="123">
        <f>Z61+AA61</f>
        <v>1904.4960000000001</v>
      </c>
      <c r="Z61" s="108">
        <v>859.55700000000002</v>
      </c>
      <c r="AA61" s="108">
        <v>1044.9390000000001</v>
      </c>
      <c r="AB61" s="125">
        <f>AC61+AD61</f>
        <v>1713.6559999999999</v>
      </c>
      <c r="AC61" s="106">
        <v>779.30399999999997</v>
      </c>
      <c r="AD61" s="106">
        <v>934.35199999999998</v>
      </c>
      <c r="AE61" s="127">
        <f>AB61/F61</f>
        <v>23.800777777777778</v>
      </c>
    </row>
    <row r="62" spans="1:31" s="105" customFormat="1">
      <c r="A62" s="97">
        <f t="shared" si="0"/>
        <v>56</v>
      </c>
      <c r="B62" s="98" t="s">
        <v>78</v>
      </c>
      <c r="C62" s="98" t="s">
        <v>81</v>
      </c>
      <c r="D62" s="99">
        <v>12</v>
      </c>
      <c r="E62" s="99"/>
      <c r="F62" s="100">
        <f>[2]МКД!$H$14</f>
        <v>16</v>
      </c>
      <c r="G62" s="101">
        <f>H62+I62</f>
        <v>183.45233999999999</v>
      </c>
      <c r="H62" s="110">
        <f>74853.19/1000</f>
        <v>74.853189999999998</v>
      </c>
      <c r="I62" s="110">
        <f>108599.15/1000</f>
        <v>108.59914999999999</v>
      </c>
      <c r="J62" s="101">
        <f>K62+L62</f>
        <v>296.95632000000001</v>
      </c>
      <c r="K62" s="110">
        <f>143918.49/1000</f>
        <v>143.91848999999999</v>
      </c>
      <c r="L62" s="110">
        <f>153037.83/1000</f>
        <v>153.03782999999999</v>
      </c>
      <c r="M62" s="101">
        <f>N62+O62</f>
        <v>307.22379000000001</v>
      </c>
      <c r="N62" s="110">
        <f>162218.28/1000</f>
        <v>162.21827999999999</v>
      </c>
      <c r="O62" s="110">
        <f>145005.51/1000</f>
        <v>145.00551000000002</v>
      </c>
      <c r="P62" s="101">
        <f>Q62+R62</f>
        <v>241.21099999999998</v>
      </c>
      <c r="Q62" s="127">
        <v>97.832999999999998</v>
      </c>
      <c r="R62" s="127">
        <v>143.37799999999999</v>
      </c>
      <c r="S62" s="48">
        <f>T62+U62</f>
        <v>305.77</v>
      </c>
      <c r="T62" s="48">
        <v>123.79</v>
      </c>
      <c r="U62" s="48">
        <v>181.98</v>
      </c>
      <c r="V62" s="48">
        <f>W62+X62</f>
        <v>350.26800000000003</v>
      </c>
      <c r="W62" s="48">
        <v>135.89500000000001</v>
      </c>
      <c r="X62" s="48">
        <v>214.37299999999999</v>
      </c>
      <c r="Y62" s="123">
        <f>Z62+AA62</f>
        <v>342.85199999999998</v>
      </c>
      <c r="Z62" s="124">
        <v>114.931</v>
      </c>
      <c r="AA62" s="124">
        <v>227.92099999999999</v>
      </c>
      <c r="AB62" s="125">
        <f>AC62+AD62</f>
        <v>375.65899999999999</v>
      </c>
      <c r="AC62" s="125">
        <v>122.70399999999999</v>
      </c>
      <c r="AD62" s="126">
        <v>252.95500000000001</v>
      </c>
      <c r="AE62" s="127">
        <f>AB62/F62</f>
        <v>23.478687499999999</v>
      </c>
    </row>
    <row r="63" spans="1:31" s="105" customFormat="1">
      <c r="A63" s="97">
        <f t="shared" si="0"/>
        <v>57</v>
      </c>
      <c r="B63" s="98" t="s">
        <v>78</v>
      </c>
      <c r="C63" s="98" t="s">
        <v>35</v>
      </c>
      <c r="D63" s="99">
        <v>21</v>
      </c>
      <c r="E63" s="99"/>
      <c r="F63" s="100">
        <f>[2]МКД!$H$35</f>
        <v>8</v>
      </c>
      <c r="G63" s="101">
        <f>H63+I63</f>
        <v>61.515160000000002</v>
      </c>
      <c r="H63" s="110">
        <f>19968.19/1000</f>
        <v>19.96819</v>
      </c>
      <c r="I63" s="110">
        <f>41546.97/1000</f>
        <v>41.546970000000002</v>
      </c>
      <c r="J63" s="101">
        <f>K63+L63</f>
        <v>150.70723000000001</v>
      </c>
      <c r="K63" s="110">
        <f>36787.45/1000</f>
        <v>36.78745</v>
      </c>
      <c r="L63" s="110">
        <f>113919.78/1000</f>
        <v>113.91978</v>
      </c>
      <c r="M63" s="101">
        <f>N63+O63</f>
        <v>84.874890000000008</v>
      </c>
      <c r="N63" s="110">
        <f>22439.7/1000</f>
        <v>22.439700000000002</v>
      </c>
      <c r="O63" s="110">
        <f>62435.19/1000</f>
        <v>62.435190000000006</v>
      </c>
      <c r="P63" s="101">
        <f>Q63+R63</f>
        <v>82.001000000000005</v>
      </c>
      <c r="Q63" s="127">
        <v>20.335999999999999</v>
      </c>
      <c r="R63" s="127">
        <v>61.664999999999999</v>
      </c>
      <c r="S63" s="48">
        <f>T63+U63</f>
        <v>123.47</v>
      </c>
      <c r="T63" s="48">
        <v>19.5</v>
      </c>
      <c r="U63" s="48">
        <v>103.97</v>
      </c>
      <c r="V63" s="48">
        <f>W63+X63</f>
        <v>145.339</v>
      </c>
      <c r="W63" s="48">
        <v>24.707999999999998</v>
      </c>
      <c r="X63" s="48">
        <v>120.631</v>
      </c>
      <c r="Y63" s="123">
        <f>Z63+AA63</f>
        <v>149.52000000000001</v>
      </c>
      <c r="Z63" s="124">
        <v>29.914999999999999</v>
      </c>
      <c r="AA63" s="124">
        <v>119.605</v>
      </c>
      <c r="AB63" s="125">
        <f>AC63+AD63</f>
        <v>178.15299999999999</v>
      </c>
      <c r="AC63" s="125">
        <v>32.606000000000002</v>
      </c>
      <c r="AD63" s="106">
        <v>145.547</v>
      </c>
      <c r="AE63" s="127">
        <f>AB63/F63</f>
        <v>22.269124999999999</v>
      </c>
    </row>
    <row r="64" spans="1:31" s="105" customFormat="1">
      <c r="A64" s="97">
        <f t="shared" si="0"/>
        <v>58</v>
      </c>
      <c r="B64" s="98" t="s">
        <v>78</v>
      </c>
      <c r="C64" s="98" t="s">
        <v>90</v>
      </c>
      <c r="D64" s="99">
        <v>31</v>
      </c>
      <c r="E64" s="99"/>
      <c r="F64" s="100">
        <f>[3]МКД!$H$114</f>
        <v>18</v>
      </c>
      <c r="G64" s="101">
        <f>H64+I64</f>
        <v>293.76207999999997</v>
      </c>
      <c r="H64" s="110">
        <f>122746.31/1000</f>
        <v>122.74630999999999</v>
      </c>
      <c r="I64" s="110">
        <f>171015.77/1000</f>
        <v>171.01577</v>
      </c>
      <c r="J64" s="101">
        <f>K64+L64</f>
        <v>356.65521000000001</v>
      </c>
      <c r="K64" s="110">
        <f>137442.99/1000</f>
        <v>137.44298999999998</v>
      </c>
      <c r="L64" s="110">
        <f>219212.22/1000</f>
        <v>219.21222</v>
      </c>
      <c r="M64" s="101">
        <f>N64+O64</f>
        <v>316.06717000000003</v>
      </c>
      <c r="N64" s="110">
        <f>150190.13/1000</f>
        <v>150.19013000000001</v>
      </c>
      <c r="O64" s="110">
        <f>165877.04/1000</f>
        <v>165.87704000000002</v>
      </c>
      <c r="P64" s="101">
        <f>Q64+R64</f>
        <v>321.75900000000001</v>
      </c>
      <c r="Q64" s="127">
        <v>146.15100000000001</v>
      </c>
      <c r="R64" s="127">
        <v>175.608</v>
      </c>
      <c r="S64" s="48">
        <f>T64+U64</f>
        <v>395.53</v>
      </c>
      <c r="T64" s="48">
        <v>151.51</v>
      </c>
      <c r="U64" s="48">
        <v>244.02</v>
      </c>
      <c r="V64" s="48">
        <f>W64+X64</f>
        <v>403.06700000000001</v>
      </c>
      <c r="W64" s="48">
        <v>157.983</v>
      </c>
      <c r="X64" s="48">
        <v>245.084</v>
      </c>
      <c r="Y64" s="123">
        <f>Z64+AA64</f>
        <v>396.17399999999998</v>
      </c>
      <c r="Z64" s="108">
        <v>161.15899999999999</v>
      </c>
      <c r="AA64" s="108">
        <v>235.01499999999999</v>
      </c>
      <c r="AB64" s="125">
        <f>AC64+AD64</f>
        <v>394.68399999999997</v>
      </c>
      <c r="AC64" s="106">
        <v>159.64699999999999</v>
      </c>
      <c r="AD64" s="106">
        <v>235.03700000000001</v>
      </c>
      <c r="AE64" s="127">
        <f>AB64/F64</f>
        <v>21.926888888888886</v>
      </c>
    </row>
    <row r="65" spans="1:31" s="105" customFormat="1">
      <c r="A65" s="97">
        <f t="shared" si="0"/>
        <v>59</v>
      </c>
      <c r="B65" s="98" t="s">
        <v>78</v>
      </c>
      <c r="C65" s="98" t="s">
        <v>85</v>
      </c>
      <c r="D65" s="99">
        <v>4</v>
      </c>
      <c r="E65" s="99"/>
      <c r="F65" s="100">
        <f>[2]МКД!$H$38</f>
        <v>12</v>
      </c>
      <c r="G65" s="101">
        <f>H65+I65</f>
        <v>213.7647</v>
      </c>
      <c r="H65" s="110">
        <f>206122.53/1000</f>
        <v>206.12253000000001</v>
      </c>
      <c r="I65" s="110">
        <f>7642.17/1000</f>
        <v>7.6421700000000001</v>
      </c>
      <c r="J65" s="101">
        <f>K65+L65</f>
        <v>206.88945000000001</v>
      </c>
      <c r="K65" s="110">
        <f>198516.04/1000</f>
        <v>198.51604</v>
      </c>
      <c r="L65" s="110">
        <f>8373.41/1000</f>
        <v>8.3734099999999998</v>
      </c>
      <c r="M65" s="101">
        <f>N65+O65</f>
        <v>224.55490999999998</v>
      </c>
      <c r="N65" s="110">
        <f>215766.52/1000</f>
        <v>215.76651999999999</v>
      </c>
      <c r="O65" s="110">
        <f>8788.39/1000</f>
        <v>8.7883899999999997</v>
      </c>
      <c r="P65" s="101">
        <f>Q65+R65</f>
        <v>241.46</v>
      </c>
      <c r="Q65" s="127">
        <v>191.577</v>
      </c>
      <c r="R65" s="127">
        <v>49.883000000000003</v>
      </c>
      <c r="S65" s="48">
        <f>T65+U65</f>
        <v>249.13</v>
      </c>
      <c r="T65" s="48">
        <v>239.97</v>
      </c>
      <c r="U65" s="48">
        <v>9.16</v>
      </c>
      <c r="V65" s="48">
        <f>W65+X65</f>
        <v>255.03399999999999</v>
      </c>
      <c r="W65" s="48">
        <v>245.78</v>
      </c>
      <c r="X65" s="48">
        <v>9.2539999999999996</v>
      </c>
      <c r="Y65" s="123">
        <f>Z65+AA65</f>
        <v>264.86200000000002</v>
      </c>
      <c r="Z65" s="124">
        <v>255.608</v>
      </c>
      <c r="AA65" s="124">
        <v>9.2539999999999996</v>
      </c>
      <c r="AB65" s="125">
        <f>AC65+AD65</f>
        <v>261.46500000000003</v>
      </c>
      <c r="AC65" s="125">
        <v>253.626</v>
      </c>
      <c r="AD65" s="106">
        <v>7.8390000000000004</v>
      </c>
      <c r="AE65" s="127">
        <f>AB65/F65</f>
        <v>21.788750000000004</v>
      </c>
    </row>
    <row r="66" spans="1:31" s="105" customFormat="1">
      <c r="A66" s="97">
        <f t="shared" si="0"/>
        <v>60</v>
      </c>
      <c r="B66" s="98" t="s">
        <v>78</v>
      </c>
      <c r="C66" s="98" t="s">
        <v>90</v>
      </c>
      <c r="D66" s="99">
        <v>10</v>
      </c>
      <c r="E66" s="99"/>
      <c r="F66" s="100">
        <f>[3]МКД!$H$106</f>
        <v>12</v>
      </c>
      <c r="G66" s="101">
        <f>H66+I66</f>
        <v>215.52756999999997</v>
      </c>
      <c r="H66" s="110">
        <f>97852.54/1000</f>
        <v>97.852539999999991</v>
      </c>
      <c r="I66" s="110">
        <f>117675.03/1000</f>
        <v>117.67502999999999</v>
      </c>
      <c r="J66" s="101">
        <f>K66+L66</f>
        <v>245.70513</v>
      </c>
      <c r="K66" s="110">
        <f>111929.35/1000</f>
        <v>111.92935</v>
      </c>
      <c r="L66" s="110">
        <f>133775.78/1000</f>
        <v>133.77578</v>
      </c>
      <c r="M66" s="101">
        <f>N66+O66</f>
        <v>235.17068</v>
      </c>
      <c r="N66" s="110">
        <f>119205.53/1000</f>
        <v>119.20553</v>
      </c>
      <c r="O66" s="110">
        <f>115965.15/1000</f>
        <v>115.96514999999999</v>
      </c>
      <c r="P66" s="101">
        <f>Q66+R66</f>
        <v>273.83100000000002</v>
      </c>
      <c r="Q66" s="127">
        <v>113.05800000000001</v>
      </c>
      <c r="R66" s="127">
        <v>160.773</v>
      </c>
      <c r="S66" s="48">
        <f>T66+U66</f>
        <v>284.26</v>
      </c>
      <c r="T66" s="48">
        <v>114.35</v>
      </c>
      <c r="U66" s="48">
        <v>169.91</v>
      </c>
      <c r="V66" s="48">
        <f>W66+X66</f>
        <v>270.30099999999999</v>
      </c>
      <c r="W66" s="48">
        <v>107.913</v>
      </c>
      <c r="X66" s="48">
        <v>162.38800000000001</v>
      </c>
      <c r="Y66" s="123">
        <f>Z66+AA66</f>
        <v>255.93900000000002</v>
      </c>
      <c r="Z66" s="108">
        <v>94.328999999999994</v>
      </c>
      <c r="AA66" s="108">
        <v>161.61000000000001</v>
      </c>
      <c r="AB66" s="125">
        <f>AC66+AD66</f>
        <v>253.322</v>
      </c>
      <c r="AC66" s="106">
        <v>81.813000000000002</v>
      </c>
      <c r="AD66" s="106">
        <v>171.50899999999999</v>
      </c>
      <c r="AE66" s="127">
        <f>AB66/F66</f>
        <v>21.110166666666668</v>
      </c>
    </row>
    <row r="67" spans="1:31" s="105" customFormat="1">
      <c r="A67" s="97">
        <f t="shared" si="0"/>
        <v>61</v>
      </c>
      <c r="B67" s="98" t="s">
        <v>78</v>
      </c>
      <c r="C67" s="98" t="s">
        <v>84</v>
      </c>
      <c r="D67" s="99">
        <v>3</v>
      </c>
      <c r="E67" s="99"/>
      <c r="F67" s="100">
        <f>[2]МКД!$H$37</f>
        <v>8</v>
      </c>
      <c r="G67" s="101">
        <f>H67+I67</f>
        <v>104.31865999999999</v>
      </c>
      <c r="H67" s="110">
        <f>103262.2/1000</f>
        <v>103.26219999999999</v>
      </c>
      <c r="I67" s="110">
        <f>1056.46/1000</f>
        <v>1.05646</v>
      </c>
      <c r="J67" s="101">
        <f>K67+L67</f>
        <v>108.85078999999999</v>
      </c>
      <c r="K67" s="110">
        <f>107596.81/1000</f>
        <v>107.59680999999999</v>
      </c>
      <c r="L67" s="110">
        <f>1253.98/1000</f>
        <v>1.2539800000000001</v>
      </c>
      <c r="M67" s="101">
        <f>N67+O67</f>
        <v>103.29631999999999</v>
      </c>
      <c r="N67" s="110">
        <f>102106.73/1000</f>
        <v>102.10673</v>
      </c>
      <c r="O67" s="110">
        <f>1189.59/1000</f>
        <v>1.1895899999999999</v>
      </c>
      <c r="P67" s="101">
        <f>Q67+R67</f>
        <v>111.40400000000001</v>
      </c>
      <c r="Q67" s="127">
        <v>108.608</v>
      </c>
      <c r="R67" s="127">
        <v>2.7959999999999998</v>
      </c>
      <c r="S67" s="48">
        <f>T67+U67</f>
        <v>116.72</v>
      </c>
      <c r="T67" s="48">
        <v>115.36</v>
      </c>
      <c r="U67" s="48">
        <v>1.36</v>
      </c>
      <c r="V67" s="48">
        <f>W67+X67</f>
        <v>105.872</v>
      </c>
      <c r="W67" s="48">
        <v>104.655</v>
      </c>
      <c r="X67" s="48">
        <v>1.2170000000000001</v>
      </c>
      <c r="Y67" s="123">
        <f>Z67+AA67</f>
        <v>111.994</v>
      </c>
      <c r="Z67" s="124">
        <v>110.777</v>
      </c>
      <c r="AA67" s="124">
        <v>1.2170000000000001</v>
      </c>
      <c r="AB67" s="125">
        <f>AC67+AD67</f>
        <v>166.024</v>
      </c>
      <c r="AC67" s="125">
        <v>106.122</v>
      </c>
      <c r="AD67" s="106">
        <v>59.902000000000001</v>
      </c>
      <c r="AE67" s="127">
        <f>AB67/F67</f>
        <v>20.753</v>
      </c>
    </row>
    <row r="68" spans="1:31" s="105" customFormat="1">
      <c r="A68" s="97">
        <f t="shared" si="0"/>
        <v>62</v>
      </c>
      <c r="B68" s="98" t="s">
        <v>78</v>
      </c>
      <c r="C68" s="98" t="s">
        <v>55</v>
      </c>
      <c r="D68" s="99">
        <v>6</v>
      </c>
      <c r="E68" s="99"/>
      <c r="F68" s="100">
        <f>[3]МКД!$H$72</f>
        <v>12</v>
      </c>
      <c r="G68" s="101">
        <f>H68+I68</f>
        <v>302.64999999999998</v>
      </c>
      <c r="H68" s="110">
        <f>91.34+75.11</f>
        <v>166.45</v>
      </c>
      <c r="I68" s="110">
        <f>74.84+61.36</f>
        <v>136.19999999999999</v>
      </c>
      <c r="J68" s="101">
        <f>K68+L68</f>
        <v>341.39</v>
      </c>
      <c r="K68" s="110">
        <f>91.34+90.28</f>
        <v>181.62</v>
      </c>
      <c r="L68" s="110">
        <f>74.84+84.93</f>
        <v>159.77000000000001</v>
      </c>
      <c r="M68" s="101">
        <f>N68+O68</f>
        <v>329.49</v>
      </c>
      <c r="N68" s="110">
        <f>91.34+81.65</f>
        <v>172.99</v>
      </c>
      <c r="O68" s="110">
        <f>74.84+81.66</f>
        <v>156.5</v>
      </c>
      <c r="P68" s="101">
        <f>Q68+R68</f>
        <v>297.89400000000001</v>
      </c>
      <c r="Q68" s="128">
        <f>82.674+75.39</f>
        <v>158.06400000000002</v>
      </c>
      <c r="R68" s="128">
        <f>66.18+73.65</f>
        <v>139.83000000000001</v>
      </c>
      <c r="S68" s="48">
        <f>T68+U68</f>
        <v>207.75</v>
      </c>
      <c r="T68" s="48">
        <v>109.98</v>
      </c>
      <c r="U68" s="48">
        <v>97.77</v>
      </c>
      <c r="V68" s="48">
        <f>W68+X68</f>
        <v>202.40699999999998</v>
      </c>
      <c r="W68" s="48">
        <v>116.404</v>
      </c>
      <c r="X68" s="48">
        <f>107.033-21.03</f>
        <v>86.003</v>
      </c>
      <c r="Y68" s="123">
        <f>Z68+AA68</f>
        <v>228.137</v>
      </c>
      <c r="Z68" s="108">
        <v>120.979</v>
      </c>
      <c r="AA68" s="108">
        <v>107.158</v>
      </c>
      <c r="AB68" s="125">
        <f>AC68+AD68</f>
        <v>242.27600000000001</v>
      </c>
      <c r="AC68" s="106">
        <v>125.93600000000001</v>
      </c>
      <c r="AD68" s="106">
        <v>116.34</v>
      </c>
      <c r="AE68" s="127">
        <f>AB68/F68</f>
        <v>20.189666666666668</v>
      </c>
    </row>
    <row r="69" spans="1:31" s="105" customFormat="1">
      <c r="A69" s="97">
        <f t="shared" si="0"/>
        <v>63</v>
      </c>
      <c r="B69" s="98" t="s">
        <v>78</v>
      </c>
      <c r="C69" s="98" t="s">
        <v>92</v>
      </c>
      <c r="D69" s="99">
        <v>7</v>
      </c>
      <c r="E69" s="99"/>
      <c r="F69" s="100">
        <f>[3]МКД!$H$130</f>
        <v>12</v>
      </c>
      <c r="G69" s="101">
        <f>H69+I69</f>
        <v>175.51003999999998</v>
      </c>
      <c r="H69" s="110">
        <f>172317.27/1000</f>
        <v>172.31726999999998</v>
      </c>
      <c r="I69" s="110">
        <f>3192.77/1000</f>
        <v>3.1927699999999999</v>
      </c>
      <c r="J69" s="101">
        <f>K69+L69</f>
        <v>207.60963999999998</v>
      </c>
      <c r="K69" s="110">
        <f>204529.49/1000</f>
        <v>204.52948999999998</v>
      </c>
      <c r="L69" s="110">
        <f>3080.15/1000</f>
        <v>3.0801500000000002</v>
      </c>
      <c r="M69" s="101">
        <f>N69+O69</f>
        <v>216.5436</v>
      </c>
      <c r="N69" s="110">
        <f>213224.75/1000</f>
        <v>213.22475</v>
      </c>
      <c r="O69" s="110">
        <f>3318.85/1000</f>
        <v>3.3188499999999999</v>
      </c>
      <c r="P69" s="101">
        <f>Q69+R69</f>
        <v>201.61</v>
      </c>
      <c r="Q69" s="127">
        <v>201.61</v>
      </c>
      <c r="R69" s="127"/>
      <c r="S69" s="48">
        <f>T69+U69</f>
        <v>214.53</v>
      </c>
      <c r="T69" s="48">
        <v>211.12</v>
      </c>
      <c r="U69" s="48">
        <v>3.41</v>
      </c>
      <c r="V69" s="48">
        <f>W69+X69</f>
        <v>224.119</v>
      </c>
      <c r="W69" s="48">
        <v>220.631</v>
      </c>
      <c r="X69" s="48">
        <v>3.488</v>
      </c>
      <c r="Y69" s="123">
        <f>Z69+AA69</f>
        <v>234.86700000000002</v>
      </c>
      <c r="Z69" s="108">
        <v>231.39400000000001</v>
      </c>
      <c r="AA69" s="108">
        <v>3.4729999999999999</v>
      </c>
      <c r="AB69" s="125">
        <f>AC69+AD69</f>
        <v>241.94499999999999</v>
      </c>
      <c r="AC69" s="106">
        <v>240.304</v>
      </c>
      <c r="AD69" s="106">
        <v>1.641</v>
      </c>
      <c r="AE69" s="127">
        <f>AB69/F69</f>
        <v>20.162083333333332</v>
      </c>
    </row>
    <row r="70" spans="1:31" s="105" customFormat="1">
      <c r="A70" s="97">
        <f t="shared" si="0"/>
        <v>64</v>
      </c>
      <c r="B70" s="98" t="s">
        <v>78</v>
      </c>
      <c r="C70" s="98" t="s">
        <v>98</v>
      </c>
      <c r="D70" s="99">
        <v>45</v>
      </c>
      <c r="E70" s="99" t="s">
        <v>20</v>
      </c>
      <c r="F70" s="100">
        <f>[3]МКД!$H$158</f>
        <v>12</v>
      </c>
      <c r="G70" s="101">
        <f>H70+I70</f>
        <v>274.26657</v>
      </c>
      <c r="H70" s="110">
        <f>104993.43/1000</f>
        <v>104.99342999999999</v>
      </c>
      <c r="I70" s="110">
        <f>169273.14/1000</f>
        <v>169.27314000000001</v>
      </c>
      <c r="J70" s="101">
        <f>K70+L70</f>
        <v>218.14963999999998</v>
      </c>
      <c r="K70" s="110">
        <f>100518.03/1000</f>
        <v>100.51803</v>
      </c>
      <c r="L70" s="110">
        <f>117631.61/1000</f>
        <v>117.63160999999999</v>
      </c>
      <c r="M70" s="101">
        <f>N70+O70</f>
        <v>206.34949999999998</v>
      </c>
      <c r="N70" s="110">
        <f>112414.27/1000</f>
        <v>112.41427</v>
      </c>
      <c r="O70" s="110">
        <f>93935.23/1000</f>
        <v>93.93522999999999</v>
      </c>
      <c r="P70" s="101">
        <f>Q70+R70</f>
        <v>232.17399999999998</v>
      </c>
      <c r="Q70" s="127">
        <v>104.6</v>
      </c>
      <c r="R70" s="127">
        <v>127.574</v>
      </c>
      <c r="S70" s="48">
        <f>T70+U70</f>
        <v>281.53999999999996</v>
      </c>
      <c r="T70" s="48">
        <v>102.35</v>
      </c>
      <c r="U70" s="48">
        <v>179.19</v>
      </c>
      <c r="V70" s="48">
        <f>W70+X70</f>
        <v>236.76499999999999</v>
      </c>
      <c r="W70" s="48">
        <v>89.116</v>
      </c>
      <c r="X70" s="48">
        <v>147.649</v>
      </c>
      <c r="Y70" s="123">
        <f>Z70+AA70</f>
        <v>238.52199999999999</v>
      </c>
      <c r="Z70" s="108">
        <v>90.873000000000005</v>
      </c>
      <c r="AA70" s="108">
        <v>147.649</v>
      </c>
      <c r="AB70" s="125">
        <f>AC70+AD70</f>
        <v>235.34899999999999</v>
      </c>
      <c r="AC70" s="125">
        <v>87.004999999999995</v>
      </c>
      <c r="AD70" s="106">
        <v>148.34399999999999</v>
      </c>
      <c r="AE70" s="127">
        <f>AB70/F70</f>
        <v>19.612416666666665</v>
      </c>
    </row>
    <row r="71" spans="1:31" s="105" customFormat="1">
      <c r="A71" s="97">
        <f t="shared" si="0"/>
        <v>65</v>
      </c>
      <c r="B71" s="98" t="s">
        <v>78</v>
      </c>
      <c r="C71" s="98" t="s">
        <v>24</v>
      </c>
      <c r="D71" s="99">
        <v>6</v>
      </c>
      <c r="E71" s="99"/>
      <c r="F71" s="100">
        <f>[1]МКД!$H$232</f>
        <v>12</v>
      </c>
      <c r="G71" s="101">
        <f>H71+I71</f>
        <v>0</v>
      </c>
      <c r="H71" s="110">
        <v>0</v>
      </c>
      <c r="I71" s="110"/>
      <c r="J71" s="101">
        <f>K71+L71</f>
        <v>145.35674</v>
      </c>
      <c r="K71" s="110">
        <f>76233.24/1000</f>
        <v>76.233240000000009</v>
      </c>
      <c r="L71" s="110">
        <f>69123.5/1000</f>
        <v>69.123500000000007</v>
      </c>
      <c r="M71" s="101">
        <f>N71+O71</f>
        <v>134.43081000000001</v>
      </c>
      <c r="N71" s="110">
        <f>81826.82/1000</f>
        <v>81.826820000000012</v>
      </c>
      <c r="O71" s="110">
        <f>52603.99/1000</f>
        <v>52.603989999999996</v>
      </c>
      <c r="P71" s="101">
        <f>Q71+R71</f>
        <v>145.06100000000001</v>
      </c>
      <c r="Q71" s="127">
        <v>91.775000000000006</v>
      </c>
      <c r="R71" s="127">
        <v>53.286000000000001</v>
      </c>
      <c r="S71" s="48">
        <f>T71+U71</f>
        <v>185.51</v>
      </c>
      <c r="T71" s="48">
        <v>93.49</v>
      </c>
      <c r="U71" s="48">
        <v>92.02</v>
      </c>
      <c r="V71" s="48">
        <f>W71+X71</f>
        <v>211.34299999999999</v>
      </c>
      <c r="W71" s="48">
        <v>106.61199999999999</v>
      </c>
      <c r="X71" s="48">
        <v>104.73099999999999</v>
      </c>
      <c r="Y71" s="123">
        <f>Z71+AA71</f>
        <v>208.64400000000001</v>
      </c>
      <c r="Z71" s="124">
        <v>103.913</v>
      </c>
      <c r="AA71" s="124">
        <v>104.73099999999999</v>
      </c>
      <c r="AB71" s="125">
        <f>AC71+AD71</f>
        <v>222.155</v>
      </c>
      <c r="AC71" s="125">
        <v>104.352</v>
      </c>
      <c r="AD71" s="106">
        <v>117.803</v>
      </c>
      <c r="AE71" s="127">
        <f>AB71/F71</f>
        <v>18.512916666666666</v>
      </c>
    </row>
    <row r="72" spans="1:31" s="105" customFormat="1">
      <c r="A72" s="97">
        <f t="shared" si="0"/>
        <v>66</v>
      </c>
      <c r="B72" s="98" t="s">
        <v>78</v>
      </c>
      <c r="C72" s="98" t="s">
        <v>90</v>
      </c>
      <c r="D72" s="99">
        <v>21</v>
      </c>
      <c r="E72" s="99" t="s">
        <v>82</v>
      </c>
      <c r="F72" s="100">
        <f>[3]МКД!$H$111</f>
        <v>12</v>
      </c>
      <c r="G72" s="101">
        <f>H72+I72</f>
        <v>252.91453000000001</v>
      </c>
      <c r="H72" s="110">
        <f>90697.65/1000</f>
        <v>90.697649999999996</v>
      </c>
      <c r="I72" s="110">
        <f>162216.88/1000</f>
        <v>162.21688</v>
      </c>
      <c r="J72" s="101">
        <f>K72+L72</f>
        <v>293.12155999999999</v>
      </c>
      <c r="K72" s="110">
        <f>108265.8/1000</f>
        <v>108.2658</v>
      </c>
      <c r="L72" s="110">
        <f>184855.76/1000</f>
        <v>184.85576</v>
      </c>
      <c r="M72" s="101">
        <f>N72+O72</f>
        <v>294.52834000000001</v>
      </c>
      <c r="N72" s="110">
        <f>120311.43/1000</f>
        <v>120.31142999999999</v>
      </c>
      <c r="O72" s="110">
        <f>174216.91/1000</f>
        <v>174.21691000000001</v>
      </c>
      <c r="P72" s="101">
        <f>Q72+R72</f>
        <v>366.28</v>
      </c>
      <c r="Q72" s="127">
        <v>107.72199999999999</v>
      </c>
      <c r="R72" s="127">
        <v>258.55799999999999</v>
      </c>
      <c r="S72" s="48">
        <f>T72+U72</f>
        <v>366.15999999999997</v>
      </c>
      <c r="T72" s="48">
        <v>147.62</v>
      </c>
      <c r="U72" s="48">
        <v>218.54</v>
      </c>
      <c r="V72" s="48">
        <f>W72+X72</f>
        <v>372.827</v>
      </c>
      <c r="W72" s="48">
        <v>150.702</v>
      </c>
      <c r="X72" s="48">
        <v>222.125</v>
      </c>
      <c r="Y72" s="123">
        <f>Z72+AA72</f>
        <v>324.92500000000001</v>
      </c>
      <c r="Z72" s="108">
        <v>102.854</v>
      </c>
      <c r="AA72" s="108">
        <v>222.071</v>
      </c>
      <c r="AB72" s="125">
        <f>AC72+AD72</f>
        <v>221.65600000000001</v>
      </c>
      <c r="AC72" s="106">
        <v>72.358999999999995</v>
      </c>
      <c r="AD72" s="106">
        <v>149.297</v>
      </c>
      <c r="AE72" s="127">
        <f>AB72/F72</f>
        <v>18.471333333333334</v>
      </c>
    </row>
    <row r="73" spans="1:31" s="105" customFormat="1">
      <c r="A73" s="97">
        <f t="shared" si="0"/>
        <v>67</v>
      </c>
      <c r="B73" s="98" t="s">
        <v>78</v>
      </c>
      <c r="C73" s="98" t="s">
        <v>81</v>
      </c>
      <c r="D73" s="99">
        <v>10</v>
      </c>
      <c r="E73" s="99"/>
      <c r="F73" s="100">
        <f>[2]МКД!$H$13</f>
        <v>13</v>
      </c>
      <c r="G73" s="101">
        <f>H73+I73</f>
        <v>555.40532999999994</v>
      </c>
      <c r="H73" s="110">
        <f>269979.35/1000</f>
        <v>269.97934999999995</v>
      </c>
      <c r="I73" s="110">
        <f>285425.98/1000</f>
        <v>285.42597999999998</v>
      </c>
      <c r="J73" s="101">
        <f>K73+L73</f>
        <v>663.90873999999997</v>
      </c>
      <c r="K73" s="110">
        <f>323729.05/1000</f>
        <v>323.72904999999997</v>
      </c>
      <c r="L73" s="110">
        <f>340179.69/1000</f>
        <v>340.17968999999999</v>
      </c>
      <c r="M73" s="101">
        <f>N73+O73</f>
        <v>662.29762000000005</v>
      </c>
      <c r="N73" s="110">
        <f>332760.12/1000</f>
        <v>332.76011999999997</v>
      </c>
      <c r="O73" s="110">
        <f>329537.5/1000</f>
        <v>329.53750000000002</v>
      </c>
      <c r="P73" s="101">
        <f>Q73+R73</f>
        <v>772.04499999999996</v>
      </c>
      <c r="Q73" s="127">
        <v>313.75299999999999</v>
      </c>
      <c r="R73" s="127">
        <v>458.29199999999997</v>
      </c>
      <c r="S73" s="48">
        <f>T73+U73</f>
        <v>385.56</v>
      </c>
      <c r="T73" s="48">
        <v>172.9</v>
      </c>
      <c r="U73" s="48">
        <v>212.66</v>
      </c>
      <c r="V73" s="48">
        <f>W73+X73</f>
        <v>229.45999999999998</v>
      </c>
      <c r="W73" s="48">
        <v>95.825999999999993</v>
      </c>
      <c r="X73" s="48">
        <v>133.63399999999999</v>
      </c>
      <c r="Y73" s="123">
        <f>Z73+AA73</f>
        <v>222.29</v>
      </c>
      <c r="Z73" s="124">
        <v>91.119</v>
      </c>
      <c r="AA73" s="124">
        <v>131.17099999999999</v>
      </c>
      <c r="AB73" s="125">
        <f>AC73+AD73</f>
        <v>239.654</v>
      </c>
      <c r="AC73" s="106">
        <v>87.546999999999997</v>
      </c>
      <c r="AD73" s="126">
        <v>152.107</v>
      </c>
      <c r="AE73" s="127">
        <f>AB73/F73</f>
        <v>18.434923076923077</v>
      </c>
    </row>
    <row r="74" spans="1:31" s="105" customFormat="1">
      <c r="A74" s="97">
        <f t="shared" si="0"/>
        <v>68</v>
      </c>
      <c r="B74" s="98" t="s">
        <v>78</v>
      </c>
      <c r="C74" s="98" t="s">
        <v>19</v>
      </c>
      <c r="D74" s="99">
        <v>45</v>
      </c>
      <c r="E74" s="99" t="s">
        <v>20</v>
      </c>
      <c r="F74" s="100">
        <f>[2]МКД!$H$52</f>
        <v>12</v>
      </c>
      <c r="G74" s="101">
        <f>H74+I74</f>
        <v>184.81009999999998</v>
      </c>
      <c r="H74" s="110">
        <f>68680.01/1000</f>
        <v>68.680009999999996</v>
      </c>
      <c r="I74" s="110">
        <f>116130.09/1000</f>
        <v>116.13009</v>
      </c>
      <c r="J74" s="101">
        <f>K74+L74</f>
        <v>226.65393</v>
      </c>
      <c r="K74" s="110">
        <f>92200.35/1000</f>
        <v>92.20035</v>
      </c>
      <c r="L74" s="110">
        <f>134453.58/1000</f>
        <v>134.45357999999999</v>
      </c>
      <c r="M74" s="101">
        <f>N74+O74</f>
        <v>244.08479999999997</v>
      </c>
      <c r="N74" s="110">
        <f>97722.62/1000</f>
        <v>97.722619999999992</v>
      </c>
      <c r="O74" s="110">
        <f>146362.18/1000</f>
        <v>146.36218</v>
      </c>
      <c r="P74" s="101">
        <f>Q74+R74</f>
        <v>212.47300000000001</v>
      </c>
      <c r="Q74" s="127">
        <v>61.145000000000003</v>
      </c>
      <c r="R74" s="127">
        <v>151.328</v>
      </c>
      <c r="S74" s="48">
        <f>T74+U74</f>
        <v>231.43</v>
      </c>
      <c r="T74" s="48">
        <v>72.599999999999994</v>
      </c>
      <c r="U74" s="48">
        <v>158.83000000000001</v>
      </c>
      <c r="V74" s="48">
        <f>W74+X74</f>
        <v>241.52100000000002</v>
      </c>
      <c r="W74" s="48">
        <v>73.239000000000004</v>
      </c>
      <c r="X74" s="48">
        <v>168.28200000000001</v>
      </c>
      <c r="Y74" s="123">
        <f>Z74+AA74</f>
        <v>234.92099999999999</v>
      </c>
      <c r="Z74" s="124">
        <v>66.638999999999996</v>
      </c>
      <c r="AA74" s="124">
        <v>168.28200000000001</v>
      </c>
      <c r="AB74" s="125">
        <f>AC74+AD74</f>
        <v>217.072</v>
      </c>
      <c r="AC74" s="125">
        <v>57.604999999999997</v>
      </c>
      <c r="AD74" s="106">
        <v>159.46700000000001</v>
      </c>
      <c r="AE74" s="127">
        <f>AB74/F74</f>
        <v>18.089333333333332</v>
      </c>
    </row>
    <row r="75" spans="1:31" s="105" customFormat="1">
      <c r="A75" s="97">
        <f t="shared" ref="A75:A138" si="1">A74+1</f>
        <v>69</v>
      </c>
      <c r="B75" s="98" t="s">
        <v>78</v>
      </c>
      <c r="C75" s="98" t="s">
        <v>19</v>
      </c>
      <c r="D75" s="99">
        <v>18</v>
      </c>
      <c r="E75" s="99"/>
      <c r="F75" s="100">
        <f>[2]МКД!$H$47</f>
        <v>12</v>
      </c>
      <c r="G75" s="101">
        <f>H75+I75</f>
        <v>245.00290999999999</v>
      </c>
      <c r="H75" s="110">
        <f>53462.28/1000</f>
        <v>53.46228</v>
      </c>
      <c r="I75" s="110">
        <f>191540.63/1000</f>
        <v>191.54062999999999</v>
      </c>
      <c r="J75" s="101">
        <f>K75+L75</f>
        <v>302.81707</v>
      </c>
      <c r="K75" s="110">
        <f>61406.68/1000</f>
        <v>61.406680000000001</v>
      </c>
      <c r="L75" s="110">
        <f>241410.39/1000</f>
        <v>241.41039000000001</v>
      </c>
      <c r="M75" s="101">
        <f>N75+O75</f>
        <v>300.53615000000002</v>
      </c>
      <c r="N75" s="110">
        <f>64121.95/1000</f>
        <v>64.121949999999998</v>
      </c>
      <c r="O75" s="110">
        <f>236414.2/1000</f>
        <v>236.41420000000002</v>
      </c>
      <c r="P75" s="101">
        <f>Q75+R75</f>
        <v>162.66399999999999</v>
      </c>
      <c r="Q75" s="127">
        <v>31.256</v>
      </c>
      <c r="R75" s="127">
        <v>131.40799999999999</v>
      </c>
      <c r="S75" s="48">
        <f>T75+U75</f>
        <v>241.07</v>
      </c>
      <c r="T75" s="48">
        <v>-65.14</v>
      </c>
      <c r="U75" s="48">
        <v>306.20999999999998</v>
      </c>
      <c r="V75" s="48">
        <f>W75+X75</f>
        <v>233.68700000000001</v>
      </c>
      <c r="W75" s="48">
        <v>71.045000000000002</v>
      </c>
      <c r="X75" s="48">
        <v>162.642</v>
      </c>
      <c r="Y75" s="123">
        <f>Z75+AA75</f>
        <v>246.613</v>
      </c>
      <c r="Z75" s="124">
        <v>76.567999999999998</v>
      </c>
      <c r="AA75" s="124">
        <v>170.04499999999999</v>
      </c>
      <c r="AB75" s="125">
        <f>AC75+AD75</f>
        <v>211.95699999999999</v>
      </c>
      <c r="AC75" s="106">
        <v>63.694000000000003</v>
      </c>
      <c r="AD75" s="106">
        <v>148.26300000000001</v>
      </c>
      <c r="AE75" s="127">
        <f>AB75/F75</f>
        <v>17.663083333333333</v>
      </c>
    </row>
    <row r="76" spans="1:31" s="105" customFormat="1">
      <c r="A76" s="97">
        <f t="shared" si="1"/>
        <v>70</v>
      </c>
      <c r="B76" s="98" t="s">
        <v>78</v>
      </c>
      <c r="C76" s="98" t="s">
        <v>85</v>
      </c>
      <c r="D76" s="99">
        <v>14</v>
      </c>
      <c r="E76" s="99"/>
      <c r="F76" s="100">
        <f>[1]МКД!$H$276</f>
        <v>16</v>
      </c>
      <c r="G76" s="101">
        <f>H76+I76</f>
        <v>269.29043999999999</v>
      </c>
      <c r="H76" s="110">
        <f>130687.82/1000</f>
        <v>130.68782000000002</v>
      </c>
      <c r="I76" s="110">
        <f>138602.62/1000</f>
        <v>138.60262</v>
      </c>
      <c r="J76" s="101">
        <f>K76+L76</f>
        <v>337.03121999999996</v>
      </c>
      <c r="K76" s="110">
        <f>170629.04/1000</f>
        <v>170.62904</v>
      </c>
      <c r="L76" s="110">
        <f>166402.18/1000</f>
        <v>166.40217999999999</v>
      </c>
      <c r="M76" s="101">
        <f>N76+O76</f>
        <v>274.45571000000001</v>
      </c>
      <c r="N76" s="110">
        <f>160461.06/1000</f>
        <v>160.46106</v>
      </c>
      <c r="O76" s="110">
        <f>113994.65/1000</f>
        <v>113.99464999999999</v>
      </c>
      <c r="P76" s="101">
        <f>Q76+R76</f>
        <v>260.99900000000002</v>
      </c>
      <c r="Q76" s="127">
        <v>65.929000000000002</v>
      </c>
      <c r="R76" s="127">
        <v>195.07</v>
      </c>
      <c r="S76" s="48">
        <f>T76+U76</f>
        <v>359.82</v>
      </c>
      <c r="T76" s="48">
        <v>78.61</v>
      </c>
      <c r="U76" s="48">
        <v>281.20999999999998</v>
      </c>
      <c r="V76" s="48">
        <f>W76+X76</f>
        <v>250.09299999999999</v>
      </c>
      <c r="W76" s="48">
        <v>52.378999999999998</v>
      </c>
      <c r="X76" s="48">
        <v>197.714</v>
      </c>
      <c r="Y76" s="123">
        <f>Z76+AA76</f>
        <v>264.27800000000002</v>
      </c>
      <c r="Z76" s="124">
        <v>66.563999999999993</v>
      </c>
      <c r="AA76" s="124">
        <v>197.714</v>
      </c>
      <c r="AB76" s="125">
        <f>AC76+AD76</f>
        <v>280.96799999999996</v>
      </c>
      <c r="AC76" s="125">
        <v>64.730999999999995</v>
      </c>
      <c r="AD76" s="106">
        <v>216.23699999999999</v>
      </c>
      <c r="AE76" s="127">
        <f>AB76/F76</f>
        <v>17.560499999999998</v>
      </c>
    </row>
    <row r="77" spans="1:31" s="105" customFormat="1">
      <c r="A77" s="97">
        <f t="shared" si="1"/>
        <v>71</v>
      </c>
      <c r="B77" s="98" t="s">
        <v>78</v>
      </c>
      <c r="C77" s="98" t="s">
        <v>19</v>
      </c>
      <c r="D77" s="99">
        <v>50</v>
      </c>
      <c r="E77" s="99"/>
      <c r="F77" s="100">
        <f>[2]МКД!$H$55</f>
        <v>12</v>
      </c>
      <c r="G77" s="101">
        <f>H77+I77</f>
        <v>244.35999999999999</v>
      </c>
      <c r="H77" s="110">
        <f>81.99+62.36</f>
        <v>144.35</v>
      </c>
      <c r="I77" s="110">
        <f>52.85+47.16</f>
        <v>100.00999999999999</v>
      </c>
      <c r="J77" s="101">
        <f>K77+L77</f>
        <v>298.16999999999996</v>
      </c>
      <c r="K77" s="110">
        <f>81.99+90.34</f>
        <v>172.32999999999998</v>
      </c>
      <c r="L77" s="110">
        <f>54.21+71.63</f>
        <v>125.84</v>
      </c>
      <c r="M77" s="101">
        <f>N77+O77</f>
        <v>311.27999999999997</v>
      </c>
      <c r="N77" s="110">
        <f>81.99+97.25</f>
        <v>179.24</v>
      </c>
      <c r="O77" s="110">
        <f>54.21+77.83</f>
        <v>132.04</v>
      </c>
      <c r="P77" s="101">
        <f>Q77+R77</f>
        <v>307.52599999999995</v>
      </c>
      <c r="Q77" s="128">
        <f>80.095+93.17</f>
        <v>173.26499999999999</v>
      </c>
      <c r="R77" s="128">
        <f>52.311+81.95</f>
        <v>134.261</v>
      </c>
      <c r="S77" s="48">
        <f>T77+U77</f>
        <v>179.26999999999998</v>
      </c>
      <c r="T77" s="48">
        <v>105.46</v>
      </c>
      <c r="U77" s="48">
        <v>73.81</v>
      </c>
      <c r="V77" s="48">
        <f>W77+X77</f>
        <v>188.62200000000001</v>
      </c>
      <c r="W77" s="48">
        <v>116.64100000000001</v>
      </c>
      <c r="X77" s="48">
        <v>71.980999999999995</v>
      </c>
      <c r="Y77" s="123">
        <f>Z77+AA77</f>
        <v>191.33199999999999</v>
      </c>
      <c r="Z77" s="124">
        <v>121.822</v>
      </c>
      <c r="AA77" s="124">
        <v>69.510000000000005</v>
      </c>
      <c r="AB77" s="125">
        <f>AC77+AD77</f>
        <v>208.398</v>
      </c>
      <c r="AC77" s="106">
        <v>124.601</v>
      </c>
      <c r="AD77" s="106">
        <v>83.796999999999997</v>
      </c>
      <c r="AE77" s="127">
        <f>AB77/F77</f>
        <v>17.366499999999998</v>
      </c>
    </row>
    <row r="78" spans="1:31" s="105" customFormat="1">
      <c r="A78" s="97">
        <f t="shared" si="1"/>
        <v>72</v>
      </c>
      <c r="B78" s="98" t="s">
        <v>78</v>
      </c>
      <c r="C78" s="98" t="s">
        <v>94</v>
      </c>
      <c r="D78" s="99">
        <v>10</v>
      </c>
      <c r="E78" s="99" t="s">
        <v>20</v>
      </c>
      <c r="F78" s="100">
        <f>[3]МКД!$H$139</f>
        <v>12</v>
      </c>
      <c r="G78" s="101">
        <f>H78+I78</f>
        <v>107.44525</v>
      </c>
      <c r="H78" s="110">
        <f>78572.98/1000</f>
        <v>78.572980000000001</v>
      </c>
      <c r="I78" s="110">
        <f>28872.27/1000</f>
        <v>28.87227</v>
      </c>
      <c r="J78" s="101">
        <f>K78+L78</f>
        <v>168.16042999999999</v>
      </c>
      <c r="K78" s="110">
        <f>99821.34/1000</f>
        <v>99.821339999999992</v>
      </c>
      <c r="L78" s="110">
        <f>68339.09/1000</f>
        <v>68.339089999999999</v>
      </c>
      <c r="M78" s="101">
        <f>N78+O78</f>
        <v>175.68081000000001</v>
      </c>
      <c r="N78" s="110">
        <f>103685.04/1000</f>
        <v>103.68503999999999</v>
      </c>
      <c r="O78" s="110">
        <f>71995.77/1000</f>
        <v>71.995770000000007</v>
      </c>
      <c r="P78" s="101">
        <f>Q78+R78</f>
        <v>182.01100000000002</v>
      </c>
      <c r="Q78" s="127">
        <v>108.715</v>
      </c>
      <c r="R78" s="127">
        <v>73.296000000000006</v>
      </c>
      <c r="S78" s="48">
        <f>T78+U78</f>
        <v>195.76</v>
      </c>
      <c r="T78" s="48">
        <v>114.33</v>
      </c>
      <c r="U78" s="48">
        <v>81.430000000000007</v>
      </c>
      <c r="V78" s="48">
        <f>W78+X78</f>
        <v>204.00299999999999</v>
      </c>
      <c r="W78" s="48">
        <v>115.02200000000001</v>
      </c>
      <c r="X78" s="48">
        <v>88.980999999999995</v>
      </c>
      <c r="Y78" s="123">
        <f>Z78+AA78</f>
        <v>208.346</v>
      </c>
      <c r="Z78" s="108">
        <v>118.111</v>
      </c>
      <c r="AA78" s="108">
        <v>90.234999999999999</v>
      </c>
      <c r="AB78" s="125">
        <f>AC78+AD78</f>
        <v>206.29399999999998</v>
      </c>
      <c r="AC78" s="106">
        <v>114.411</v>
      </c>
      <c r="AD78" s="106">
        <v>91.882999999999996</v>
      </c>
      <c r="AE78" s="127">
        <f>AB78/F78</f>
        <v>17.191166666666664</v>
      </c>
    </row>
    <row r="79" spans="1:31" s="105" customFormat="1">
      <c r="A79" s="97">
        <f t="shared" si="1"/>
        <v>73</v>
      </c>
      <c r="B79" s="98" t="s">
        <v>78</v>
      </c>
      <c r="C79" s="98" t="s">
        <v>93</v>
      </c>
      <c r="D79" s="99">
        <v>2</v>
      </c>
      <c r="E79" s="99"/>
      <c r="F79" s="100">
        <f>[3]МКД!$H$132</f>
        <v>8</v>
      </c>
      <c r="G79" s="101">
        <f>H79+I79</f>
        <v>97.679060000000007</v>
      </c>
      <c r="H79" s="110">
        <f>94805.1/1000</f>
        <v>94.80510000000001</v>
      </c>
      <c r="I79" s="110">
        <f>2873.96/1000</f>
        <v>2.8739599999999998</v>
      </c>
      <c r="J79" s="101">
        <f>K79+L79</f>
        <v>126.95059999999999</v>
      </c>
      <c r="K79" s="110">
        <f>122808.76/1000</f>
        <v>122.80875999999999</v>
      </c>
      <c r="L79" s="110">
        <f>4141.84/1000</f>
        <v>4.1418400000000002</v>
      </c>
      <c r="M79" s="101">
        <f>N79+O79</f>
        <v>128.81439</v>
      </c>
      <c r="N79" s="110">
        <f>124542.59/1000</f>
        <v>124.54258999999999</v>
      </c>
      <c r="O79" s="110">
        <f>4271.8/1000</f>
        <v>4.2717999999999998</v>
      </c>
      <c r="P79" s="101">
        <f>Q79+R79</f>
        <v>140.12800000000001</v>
      </c>
      <c r="Q79" s="127">
        <v>135.453</v>
      </c>
      <c r="R79" s="127">
        <v>4.6749999999999998</v>
      </c>
      <c r="S79" s="48">
        <f>T79+U79</f>
        <v>130.63</v>
      </c>
      <c r="T79" s="48">
        <v>126.45</v>
      </c>
      <c r="U79" s="48">
        <v>4.18</v>
      </c>
      <c r="V79" s="48">
        <f>W79+X79</f>
        <v>132.298</v>
      </c>
      <c r="W79" s="48">
        <v>128.096</v>
      </c>
      <c r="X79" s="48">
        <v>4.202</v>
      </c>
      <c r="Y79" s="123">
        <f>Z79+AA79</f>
        <v>135.68700000000001</v>
      </c>
      <c r="Z79" s="108">
        <v>131.48500000000001</v>
      </c>
      <c r="AA79" s="108">
        <v>4.202</v>
      </c>
      <c r="AB79" s="125">
        <f>AC79+AD79</f>
        <v>135.31200000000001</v>
      </c>
      <c r="AC79" s="125">
        <v>131.68100000000001</v>
      </c>
      <c r="AD79" s="106">
        <v>3.6309999999999998</v>
      </c>
      <c r="AE79" s="127">
        <f>AB79/F79</f>
        <v>16.914000000000001</v>
      </c>
    </row>
    <row r="80" spans="1:31" s="105" customFormat="1">
      <c r="A80" s="97">
        <f t="shared" si="1"/>
        <v>74</v>
      </c>
      <c r="B80" s="98" t="s">
        <v>78</v>
      </c>
      <c r="C80" s="104" t="s">
        <v>95</v>
      </c>
      <c r="D80" s="99">
        <v>12</v>
      </c>
      <c r="E80" s="99"/>
      <c r="F80" s="113">
        <f>[3]МКД!$H$141</f>
        <v>4</v>
      </c>
      <c r="G80" s="101">
        <f>H80+I80</f>
        <v>67.489199999999997</v>
      </c>
      <c r="H80" s="110">
        <f>15027.37/1000</f>
        <v>15.027370000000001</v>
      </c>
      <c r="I80" s="110">
        <f>52461.83/1000</f>
        <v>52.461829999999999</v>
      </c>
      <c r="J80" s="101">
        <f>K80+L80</f>
        <v>78.853449999999995</v>
      </c>
      <c r="K80" s="110">
        <f>20152.6/1000</f>
        <v>20.1526</v>
      </c>
      <c r="L80" s="110">
        <f>58700.85/1000</f>
        <v>58.700849999999996</v>
      </c>
      <c r="M80" s="101">
        <f>N80+O80</f>
        <v>69.80277000000001</v>
      </c>
      <c r="N80" s="110">
        <f>17540.41/1000</f>
        <v>17.540410000000001</v>
      </c>
      <c r="O80" s="110">
        <f>52262.36/1000</f>
        <v>52.262360000000001</v>
      </c>
      <c r="P80" s="101">
        <f>Q80+R80</f>
        <v>46.545999999999999</v>
      </c>
      <c r="Q80" s="127">
        <v>15.026999999999999</v>
      </c>
      <c r="R80" s="127">
        <v>31.518999999999998</v>
      </c>
      <c r="S80" s="48">
        <f>T80+U80</f>
        <v>65.17</v>
      </c>
      <c r="T80" s="48">
        <v>15.03</v>
      </c>
      <c r="U80" s="48">
        <v>50.14</v>
      </c>
      <c r="V80" s="48">
        <f>W80+X80</f>
        <v>77.50200000000001</v>
      </c>
      <c r="W80" s="48">
        <v>17.573</v>
      </c>
      <c r="X80" s="48">
        <v>59.929000000000002</v>
      </c>
      <c r="Y80" s="123">
        <f>Z80+AA80</f>
        <v>77.509</v>
      </c>
      <c r="Z80" s="108">
        <v>17.579999999999998</v>
      </c>
      <c r="AA80" s="108">
        <v>59.929000000000002</v>
      </c>
      <c r="AB80" s="125">
        <f>AC80+AD80</f>
        <v>65.968999999999994</v>
      </c>
      <c r="AC80" s="125">
        <v>15.026999999999999</v>
      </c>
      <c r="AD80" s="106">
        <v>50.942</v>
      </c>
      <c r="AE80" s="127">
        <f>AB80/F80</f>
        <v>16.492249999999999</v>
      </c>
    </row>
    <row r="81" spans="1:31" s="105" customFormat="1">
      <c r="A81" s="97">
        <f t="shared" si="1"/>
        <v>75</v>
      </c>
      <c r="B81" s="98" t="s">
        <v>78</v>
      </c>
      <c r="C81" s="98" t="s">
        <v>81</v>
      </c>
      <c r="D81" s="99">
        <v>52</v>
      </c>
      <c r="E81" s="99"/>
      <c r="F81" s="100">
        <f>[2]МКД!$H$22</f>
        <v>6</v>
      </c>
      <c r="G81" s="101">
        <f>H81+I81</f>
        <v>155.06429</v>
      </c>
      <c r="H81" s="110">
        <f>120869.69/1000</f>
        <v>120.86969000000001</v>
      </c>
      <c r="I81" s="110">
        <f>34194.6/1000</f>
        <v>34.194600000000001</v>
      </c>
      <c r="J81" s="101">
        <f>K81+L81</f>
        <v>147.75951000000001</v>
      </c>
      <c r="K81" s="110">
        <f>114486.94/1000</f>
        <v>114.48694</v>
      </c>
      <c r="L81" s="110">
        <f>33272.57/1000</f>
        <v>33.272570000000002</v>
      </c>
      <c r="M81" s="101">
        <f>N81+O81</f>
        <v>144.44592</v>
      </c>
      <c r="N81" s="110">
        <f>109744.95/1000</f>
        <v>109.74495</v>
      </c>
      <c r="O81" s="110">
        <f>34700.97/1000</f>
        <v>34.700969999999998</v>
      </c>
      <c r="P81" s="101">
        <f>Q81+R81</f>
        <v>149.267</v>
      </c>
      <c r="Q81" s="127">
        <v>109.99</v>
      </c>
      <c r="R81" s="127">
        <v>39.277000000000001</v>
      </c>
      <c r="S81" s="48">
        <f>T81+U81</f>
        <v>160.26999999999998</v>
      </c>
      <c r="T81" s="48">
        <v>123.71</v>
      </c>
      <c r="U81" s="48">
        <v>36.56</v>
      </c>
      <c r="V81" s="48">
        <f>W81+X81</f>
        <v>169.96700000000001</v>
      </c>
      <c r="W81" s="48">
        <v>131.15600000000001</v>
      </c>
      <c r="X81" s="48">
        <v>38.811</v>
      </c>
      <c r="Y81" s="123">
        <f>Z81+AA81</f>
        <v>193.429</v>
      </c>
      <c r="Z81" s="124">
        <v>72.143000000000001</v>
      </c>
      <c r="AA81" s="124">
        <v>121.286</v>
      </c>
      <c r="AB81" s="125">
        <f>AC81+AD81</f>
        <v>98.670999999999992</v>
      </c>
      <c r="AC81" s="106">
        <v>73.483999999999995</v>
      </c>
      <c r="AD81" s="126">
        <v>25.187000000000001</v>
      </c>
      <c r="AE81" s="127">
        <f>AB81/F81</f>
        <v>16.445166666666665</v>
      </c>
    </row>
    <row r="82" spans="1:31" s="105" customFormat="1">
      <c r="A82" s="97">
        <f t="shared" si="1"/>
        <v>76</v>
      </c>
      <c r="B82" s="98" t="s">
        <v>78</v>
      </c>
      <c r="C82" s="98" t="s">
        <v>76</v>
      </c>
      <c r="D82" s="99">
        <v>1</v>
      </c>
      <c r="E82" s="99" t="s">
        <v>21</v>
      </c>
      <c r="F82" s="100">
        <f>[3]МКД!$H$122</f>
        <v>12</v>
      </c>
      <c r="G82" s="101">
        <f>H82+I82</f>
        <v>155.18887000000001</v>
      </c>
      <c r="H82" s="110">
        <f>152189.12/1000</f>
        <v>152.18912</v>
      </c>
      <c r="I82" s="110">
        <f>2999.75/1000</f>
        <v>2.9997500000000001</v>
      </c>
      <c r="J82" s="101">
        <f>K82+L82</f>
        <v>199.93937999999997</v>
      </c>
      <c r="K82" s="110">
        <f>192258.9/1000</f>
        <v>192.25889999999998</v>
      </c>
      <c r="L82" s="110">
        <f>7680.48/1000</f>
        <v>7.6804799999999993</v>
      </c>
      <c r="M82" s="101">
        <f>N82+O82</f>
        <v>207.63257999999999</v>
      </c>
      <c r="N82" s="110">
        <f>199754.36/1000</f>
        <v>199.75435999999999</v>
      </c>
      <c r="O82" s="110">
        <f>7878.22/1000</f>
        <v>7.8782200000000007</v>
      </c>
      <c r="P82" s="101">
        <f>Q82+R82</f>
        <v>203.90199999999999</v>
      </c>
      <c r="Q82" s="127">
        <v>197.61099999999999</v>
      </c>
      <c r="R82" s="127">
        <v>6.2910000000000004</v>
      </c>
      <c r="S82" s="48">
        <f>T82+U82</f>
        <v>217.86999999999998</v>
      </c>
      <c r="T82" s="48">
        <v>209.89</v>
      </c>
      <c r="U82" s="48">
        <v>7.98</v>
      </c>
      <c r="V82" s="48">
        <f>W82+X82</f>
        <v>226.529</v>
      </c>
      <c r="W82" s="48">
        <v>222.03899999999999</v>
      </c>
      <c r="X82" s="48">
        <v>4.49</v>
      </c>
      <c r="Y82" s="123">
        <f>Z82+AA82</f>
        <v>238.547</v>
      </c>
      <c r="Z82" s="108">
        <v>234.035</v>
      </c>
      <c r="AA82" s="108">
        <v>4.5119999999999996</v>
      </c>
      <c r="AB82" s="125">
        <f>AC82+AD82</f>
        <v>193.512</v>
      </c>
      <c r="AC82" s="106">
        <v>192.35400000000001</v>
      </c>
      <c r="AD82" s="106">
        <v>1.1579999999999999</v>
      </c>
      <c r="AE82" s="127">
        <f>AB82/F82</f>
        <v>16.126000000000001</v>
      </c>
    </row>
    <row r="83" spans="1:31" s="105" customFormat="1">
      <c r="A83" s="97">
        <f t="shared" si="1"/>
        <v>77</v>
      </c>
      <c r="B83" s="98" t="s">
        <v>78</v>
      </c>
      <c r="C83" s="98" t="s">
        <v>37</v>
      </c>
      <c r="D83" s="99">
        <v>11</v>
      </c>
      <c r="E83" s="99" t="s">
        <v>20</v>
      </c>
      <c r="F83" s="100">
        <f>[3]МКД!$H$81</f>
        <v>12</v>
      </c>
      <c r="G83" s="101">
        <f>H83+I83</f>
        <v>188.36429999999999</v>
      </c>
      <c r="H83" s="110">
        <f>162793.84/1000</f>
        <v>162.79383999999999</v>
      </c>
      <c r="I83" s="110">
        <f>25570.46/1000</f>
        <v>25.570460000000001</v>
      </c>
      <c r="J83" s="101">
        <f>K83+L83</f>
        <v>197.26369000000003</v>
      </c>
      <c r="K83" s="110">
        <f>174648.98/1000</f>
        <v>174.64898000000002</v>
      </c>
      <c r="L83" s="110">
        <f>22614.71/1000</f>
        <v>22.614709999999999</v>
      </c>
      <c r="M83" s="101">
        <f>N83+O83</f>
        <v>205.84886</v>
      </c>
      <c r="N83" s="110">
        <f>180438.32/1000</f>
        <v>180.43832</v>
      </c>
      <c r="O83" s="110">
        <f>25410.54/1000</f>
        <v>25.410540000000001</v>
      </c>
      <c r="P83" s="101">
        <f>Q83+R83</f>
        <v>208.98599999999999</v>
      </c>
      <c r="Q83" s="127">
        <v>157.72499999999999</v>
      </c>
      <c r="R83" s="127">
        <v>51.261000000000003</v>
      </c>
      <c r="S83" s="48">
        <f>T83+U83</f>
        <v>218.95</v>
      </c>
      <c r="T83" s="48">
        <v>186.06</v>
      </c>
      <c r="U83" s="48">
        <v>32.89</v>
      </c>
      <c r="V83" s="48">
        <f>W83+X83</f>
        <v>205.976</v>
      </c>
      <c r="W83" s="48">
        <v>187.40199999999999</v>
      </c>
      <c r="X83" s="48">
        <v>18.574000000000002</v>
      </c>
      <c r="Y83" s="123">
        <f>Z83+AA83</f>
        <v>217.279</v>
      </c>
      <c r="Z83" s="108">
        <v>179.245</v>
      </c>
      <c r="AA83" s="108">
        <v>38.033999999999999</v>
      </c>
      <c r="AB83" s="125">
        <f>AC83+AD83</f>
        <v>189.38800000000001</v>
      </c>
      <c r="AC83" s="106">
        <v>150.10300000000001</v>
      </c>
      <c r="AD83" s="106">
        <v>39.284999999999997</v>
      </c>
      <c r="AE83" s="127">
        <f>AB83/F83</f>
        <v>15.782333333333334</v>
      </c>
    </row>
    <row r="84" spans="1:31" s="105" customFormat="1">
      <c r="A84" s="97">
        <f t="shared" si="1"/>
        <v>78</v>
      </c>
      <c r="B84" s="98" t="s">
        <v>78</v>
      </c>
      <c r="C84" s="98" t="s">
        <v>81</v>
      </c>
      <c r="D84" s="99">
        <v>6</v>
      </c>
      <c r="E84" s="99"/>
      <c r="F84" s="100">
        <f>[2]МКД!$H$10</f>
        <v>12</v>
      </c>
      <c r="G84" s="101">
        <f>H84+I84</f>
        <v>123.71976999999998</v>
      </c>
      <c r="H84" s="110">
        <f>69996.18/1000</f>
        <v>69.996179999999995</v>
      </c>
      <c r="I84" s="110">
        <f>53723.59/1000</f>
        <v>53.723589999999994</v>
      </c>
      <c r="J84" s="101">
        <f>K84+L84</f>
        <v>134.28301999999999</v>
      </c>
      <c r="K84" s="110">
        <f>71245.13/1000</f>
        <v>71.245130000000003</v>
      </c>
      <c r="L84" s="110">
        <f>63037.89/1000</f>
        <v>63.037889999999997</v>
      </c>
      <c r="M84" s="101">
        <f>N84+O84</f>
        <v>117.40774999999999</v>
      </c>
      <c r="N84" s="110">
        <f>73932.51/1000</f>
        <v>73.932509999999994</v>
      </c>
      <c r="O84" s="110">
        <f>43475.24/1000</f>
        <v>43.475239999999999</v>
      </c>
      <c r="P84" s="101">
        <f>Q84+R84</f>
        <v>138.392</v>
      </c>
      <c r="Q84" s="127">
        <v>60.106999999999999</v>
      </c>
      <c r="R84" s="127">
        <v>78.284999999999997</v>
      </c>
      <c r="S84" s="48">
        <f>T84+U84</f>
        <v>179.8</v>
      </c>
      <c r="T84" s="48">
        <v>67.55</v>
      </c>
      <c r="U84" s="48">
        <v>112.25</v>
      </c>
      <c r="V84" s="48">
        <f>W84+X84</f>
        <v>184</v>
      </c>
      <c r="W84" s="48">
        <v>61.975999999999999</v>
      </c>
      <c r="X84" s="48">
        <v>122.024</v>
      </c>
      <c r="Y84" s="123">
        <f>Z84+AA84</f>
        <v>65.730999999999995</v>
      </c>
      <c r="Z84" s="124">
        <v>65.730999999999995</v>
      </c>
      <c r="AA84" s="124">
        <v>0</v>
      </c>
      <c r="AB84" s="125">
        <f>AC84+AD84</f>
        <v>189.20699999999999</v>
      </c>
      <c r="AC84" s="106">
        <v>60.418999999999997</v>
      </c>
      <c r="AD84" s="106">
        <v>128.78800000000001</v>
      </c>
      <c r="AE84" s="127">
        <f>AB84/F84</f>
        <v>15.767249999999999</v>
      </c>
    </row>
    <row r="85" spans="1:31" s="105" customFormat="1">
      <c r="A85" s="97">
        <f t="shared" si="1"/>
        <v>79</v>
      </c>
      <c r="B85" s="98" t="s">
        <v>78</v>
      </c>
      <c r="C85" s="104" t="s">
        <v>95</v>
      </c>
      <c r="D85" s="99">
        <v>8</v>
      </c>
      <c r="E85" s="99"/>
      <c r="F85" s="100">
        <f>[1]МКД!$H$252</f>
        <v>12</v>
      </c>
      <c r="G85" s="101">
        <f>H85+I85</f>
        <v>0</v>
      </c>
      <c r="H85" s="110">
        <v>0</v>
      </c>
      <c r="I85" s="110"/>
      <c r="J85" s="101">
        <f>K85+L85</f>
        <v>177.31363999999999</v>
      </c>
      <c r="K85" s="110">
        <f>89925.03/1000</f>
        <v>89.925029999999992</v>
      </c>
      <c r="L85" s="110">
        <f>87388.61/1000</f>
        <v>87.38861</v>
      </c>
      <c r="M85" s="101">
        <f>N85+O85</f>
        <v>156.12831</v>
      </c>
      <c r="N85" s="110">
        <f>93179.28/1000</f>
        <v>93.179280000000006</v>
      </c>
      <c r="O85" s="110">
        <f>62949.03/1000</f>
        <v>62.94903</v>
      </c>
      <c r="P85" s="101">
        <f>Q85+R85</f>
        <v>113.35599999999999</v>
      </c>
      <c r="Q85" s="127">
        <v>56.280999999999999</v>
      </c>
      <c r="R85" s="127">
        <v>57.075000000000003</v>
      </c>
      <c r="S85" s="48">
        <f>T85+U85</f>
        <v>155.36000000000001</v>
      </c>
      <c r="T85" s="48">
        <v>60.13</v>
      </c>
      <c r="U85" s="48">
        <v>95.23</v>
      </c>
      <c r="V85" s="48">
        <f>W85+X85</f>
        <v>197.76300000000001</v>
      </c>
      <c r="W85" s="48">
        <v>66.525000000000006</v>
      </c>
      <c r="X85" s="48">
        <v>131.238</v>
      </c>
      <c r="Y85" s="123">
        <f>Z85+AA85</f>
        <v>201.065</v>
      </c>
      <c r="Z85" s="108">
        <v>69.826999999999998</v>
      </c>
      <c r="AA85" s="108">
        <v>131.238</v>
      </c>
      <c r="AB85" s="125">
        <f>AC85+AD85</f>
        <v>189.18600000000001</v>
      </c>
      <c r="AC85" s="106">
        <v>66.875</v>
      </c>
      <c r="AD85" s="106">
        <v>122.31100000000001</v>
      </c>
      <c r="AE85" s="127">
        <f>AB85/F85</f>
        <v>15.765500000000001</v>
      </c>
    </row>
    <row r="86" spans="1:31" s="105" customFormat="1">
      <c r="A86" s="97">
        <f t="shared" si="1"/>
        <v>80</v>
      </c>
      <c r="B86" s="98" t="s">
        <v>78</v>
      </c>
      <c r="C86" s="98" t="s">
        <v>55</v>
      </c>
      <c r="D86" s="99">
        <v>8</v>
      </c>
      <c r="E86" s="99" t="s">
        <v>21</v>
      </c>
      <c r="F86" s="100">
        <f>[3]МКД!$H$73</f>
        <v>12</v>
      </c>
      <c r="G86" s="101">
        <f>H86+I86</f>
        <v>326.49</v>
      </c>
      <c r="H86" s="110">
        <f>118.81+96.37</f>
        <v>215.18</v>
      </c>
      <c r="I86" s="110">
        <f>2.83+108.48</f>
        <v>111.31</v>
      </c>
      <c r="J86" s="101">
        <f>K86+L86</f>
        <v>406.36</v>
      </c>
      <c r="K86" s="110">
        <f>118.81+135.8</f>
        <v>254.61</v>
      </c>
      <c r="L86" s="110">
        <f>2.83+148.92</f>
        <v>151.75</v>
      </c>
      <c r="M86" s="101">
        <f>N86+O86</f>
        <v>367.42</v>
      </c>
      <c r="N86" s="110">
        <f>118.81+129.03</f>
        <v>247.84</v>
      </c>
      <c r="O86" s="110">
        <f>2.83+116.75</f>
        <v>119.58</v>
      </c>
      <c r="P86" s="101">
        <f>Q86+R86</f>
        <v>322.88</v>
      </c>
      <c r="Q86" s="128">
        <f>98.754+126.54</f>
        <v>225.29400000000001</v>
      </c>
      <c r="R86" s="128">
        <f>-17.224+114.81</f>
        <v>97.585999999999999</v>
      </c>
      <c r="S86" s="48">
        <f>T86+U86</f>
        <v>169.8</v>
      </c>
      <c r="T86" s="48">
        <v>142.30000000000001</v>
      </c>
      <c r="U86" s="48">
        <v>27.5</v>
      </c>
      <c r="V86" s="48">
        <f>W86+X86</f>
        <v>182.44200000000001</v>
      </c>
      <c r="W86" s="48">
        <v>154.58000000000001</v>
      </c>
      <c r="X86" s="48">
        <v>27.861999999999998</v>
      </c>
      <c r="Y86" s="123">
        <f>Z86+AA86</f>
        <v>193.68299999999999</v>
      </c>
      <c r="Z86" s="108">
        <v>165.821</v>
      </c>
      <c r="AA86" s="108">
        <v>27.861999999999998</v>
      </c>
      <c r="AB86" s="125">
        <f>AC86+AD86</f>
        <v>184.30700000000002</v>
      </c>
      <c r="AC86" s="106">
        <v>157.01400000000001</v>
      </c>
      <c r="AD86" s="106">
        <v>27.292999999999999</v>
      </c>
      <c r="AE86" s="127">
        <f>AB86/F86</f>
        <v>15.358916666666667</v>
      </c>
    </row>
    <row r="87" spans="1:31" s="105" customFormat="1">
      <c r="A87" s="97">
        <f t="shared" si="1"/>
        <v>81</v>
      </c>
      <c r="B87" s="98" t="s">
        <v>78</v>
      </c>
      <c r="C87" s="98" t="s">
        <v>85</v>
      </c>
      <c r="D87" s="99">
        <v>9</v>
      </c>
      <c r="E87" s="99"/>
      <c r="F87" s="100">
        <f>[2]МКД!$H$40</f>
        <v>12</v>
      </c>
      <c r="G87" s="101">
        <f>H87+I87</f>
        <v>169.41571999999999</v>
      </c>
      <c r="H87" s="110">
        <f>133778.46/1000</f>
        <v>133.77846</v>
      </c>
      <c r="I87" s="110">
        <f>35637.26/1000</f>
        <v>35.637260000000005</v>
      </c>
      <c r="J87" s="101">
        <f>K87+L87</f>
        <v>141.32249000000002</v>
      </c>
      <c r="K87" s="110">
        <f>103480.12/1000</f>
        <v>103.48012</v>
      </c>
      <c r="L87" s="110">
        <f>37842.37/1000</f>
        <v>37.842370000000003</v>
      </c>
      <c r="M87" s="101">
        <f>N87+O87</f>
        <v>148.72895</v>
      </c>
      <c r="N87" s="110">
        <f>109122.82/1000</f>
        <v>109.12282</v>
      </c>
      <c r="O87" s="110">
        <f>39606.13/1000</f>
        <v>39.60613</v>
      </c>
      <c r="P87" s="101">
        <f>Q87+R87</f>
        <v>154.767</v>
      </c>
      <c r="Q87" s="127">
        <v>110.462</v>
      </c>
      <c r="R87" s="127">
        <v>44.305</v>
      </c>
      <c r="S87" s="48">
        <f>T87+U87</f>
        <v>162.19999999999999</v>
      </c>
      <c r="T87" s="48">
        <v>120.13</v>
      </c>
      <c r="U87" s="48">
        <v>42.07</v>
      </c>
      <c r="V87" s="48">
        <f>W87+X87</f>
        <v>163.33700000000002</v>
      </c>
      <c r="W87" s="48">
        <v>120.43300000000001</v>
      </c>
      <c r="X87" s="48">
        <v>42.904000000000003</v>
      </c>
      <c r="Y87" s="123">
        <f>Z87+AA87</f>
        <v>167.601</v>
      </c>
      <c r="Z87" s="124">
        <v>124.697</v>
      </c>
      <c r="AA87" s="124">
        <v>42.904000000000003</v>
      </c>
      <c r="AB87" s="125">
        <f>AC87+AD87</f>
        <v>175.607</v>
      </c>
      <c r="AC87" s="106">
        <v>131.749</v>
      </c>
      <c r="AD87" s="106">
        <v>43.857999999999997</v>
      </c>
      <c r="AE87" s="127">
        <f>AB87/F87</f>
        <v>14.633916666666666</v>
      </c>
    </row>
    <row r="88" spans="1:31" s="105" customFormat="1">
      <c r="A88" s="97">
        <f t="shared" si="1"/>
        <v>82</v>
      </c>
      <c r="B88" s="98" t="s">
        <v>78</v>
      </c>
      <c r="C88" s="98" t="s">
        <v>75</v>
      </c>
      <c r="D88" s="99">
        <v>2</v>
      </c>
      <c r="E88" s="99"/>
      <c r="F88" s="100">
        <f>[3]МКД!$H$88</f>
        <v>12</v>
      </c>
      <c r="G88" s="101">
        <f>H88+I88</f>
        <v>150.49594999999999</v>
      </c>
      <c r="H88" s="110">
        <f>90907.79/1000</f>
        <v>90.907789999999991</v>
      </c>
      <c r="I88" s="110">
        <f>59588.16/1000</f>
        <v>59.588160000000002</v>
      </c>
      <c r="J88" s="101">
        <f>K88+L88</f>
        <v>139.89531999999997</v>
      </c>
      <c r="K88" s="110">
        <f>69163.51/1000</f>
        <v>69.163509999999988</v>
      </c>
      <c r="L88" s="110">
        <f>70731.81/1000</f>
        <v>70.731809999999996</v>
      </c>
      <c r="M88" s="101">
        <f>N88+O88</f>
        <v>131.88586000000001</v>
      </c>
      <c r="N88" s="110">
        <f>76885.21/1000</f>
        <v>76.885210000000001</v>
      </c>
      <c r="O88" s="110">
        <f>55000.65/1000</f>
        <v>55.00065</v>
      </c>
      <c r="P88" s="101">
        <f>Q88+R88</f>
        <v>123.51700000000001</v>
      </c>
      <c r="Q88" s="127">
        <v>67.674000000000007</v>
      </c>
      <c r="R88" s="127">
        <v>55.843000000000004</v>
      </c>
      <c r="S88" s="48">
        <f>T88+U88</f>
        <v>151.22</v>
      </c>
      <c r="T88" s="48">
        <v>66.55</v>
      </c>
      <c r="U88" s="48">
        <v>84.67</v>
      </c>
      <c r="V88" s="48">
        <f>W88+X88</f>
        <v>161.46899999999999</v>
      </c>
      <c r="W88" s="48">
        <v>66.790999999999997</v>
      </c>
      <c r="X88" s="48">
        <v>94.677999999999997</v>
      </c>
      <c r="Y88" s="123">
        <f>Z88+AA88</f>
        <v>160.691</v>
      </c>
      <c r="Z88" s="108">
        <v>66.013000000000005</v>
      </c>
      <c r="AA88" s="108">
        <v>94.677999999999997</v>
      </c>
      <c r="AB88" s="125">
        <f>AC88+AD88</f>
        <v>174.56799999999998</v>
      </c>
      <c r="AC88" s="106">
        <v>68.203000000000003</v>
      </c>
      <c r="AD88" s="106">
        <v>106.36499999999999</v>
      </c>
      <c r="AE88" s="127">
        <f>AB88/F88</f>
        <v>14.547333333333333</v>
      </c>
    </row>
    <row r="89" spans="1:31" s="105" customFormat="1">
      <c r="A89" s="97">
        <f t="shared" si="1"/>
        <v>83</v>
      </c>
      <c r="B89" s="98" t="s">
        <v>78</v>
      </c>
      <c r="C89" s="98" t="s">
        <v>88</v>
      </c>
      <c r="D89" s="99">
        <v>9</v>
      </c>
      <c r="E89" s="99"/>
      <c r="F89" s="100">
        <f>[2]МКД!$H$65</f>
        <v>12</v>
      </c>
      <c r="G89" s="101">
        <f>H89+I89</f>
        <v>120.19086</v>
      </c>
      <c r="H89" s="110">
        <f>118314.59/1000</f>
        <v>118.31459</v>
      </c>
      <c r="I89" s="110">
        <f>1876.27/1000</f>
        <v>1.8762699999999999</v>
      </c>
      <c r="J89" s="101">
        <f>K89+L89</f>
        <v>141.80278000000001</v>
      </c>
      <c r="K89" s="110">
        <f>139455.16/1000</f>
        <v>139.45516000000001</v>
      </c>
      <c r="L89" s="110">
        <f>2347.62/1000</f>
        <v>2.34762</v>
      </c>
      <c r="M89" s="101">
        <f>N89+O89</f>
        <v>154.25941</v>
      </c>
      <c r="N89" s="110">
        <f>151619.86/1000</f>
        <v>151.61985999999999</v>
      </c>
      <c r="O89" s="110">
        <f>2639.55/1000</f>
        <v>2.6395500000000003</v>
      </c>
      <c r="P89" s="101">
        <f>Q89+R89</f>
        <v>184.18399999999997</v>
      </c>
      <c r="Q89" s="127">
        <v>150.51499999999999</v>
      </c>
      <c r="R89" s="127">
        <v>33.668999999999997</v>
      </c>
      <c r="S89" s="48">
        <f>T89+U89</f>
        <v>179.46</v>
      </c>
      <c r="T89" s="48">
        <v>176.46</v>
      </c>
      <c r="U89" s="48">
        <v>3</v>
      </c>
      <c r="V89" s="48">
        <f>W89+X89</f>
        <v>169.04399999999998</v>
      </c>
      <c r="W89" s="48">
        <v>166.23599999999999</v>
      </c>
      <c r="X89" s="48">
        <v>2.8079999999999998</v>
      </c>
      <c r="Y89" s="123">
        <f>Z89+AA89</f>
        <v>174.72</v>
      </c>
      <c r="Z89" s="124">
        <v>171.923</v>
      </c>
      <c r="AA89" s="124">
        <v>2.7970000000000002</v>
      </c>
      <c r="AB89" s="125">
        <f>AC89+AD89</f>
        <v>173.94400000000002</v>
      </c>
      <c r="AC89" s="106">
        <v>172.99600000000001</v>
      </c>
      <c r="AD89" s="106">
        <v>0.94799999999999995</v>
      </c>
      <c r="AE89" s="127">
        <f>AB89/F89</f>
        <v>14.495333333333335</v>
      </c>
    </row>
    <row r="90" spans="1:31" s="105" customFormat="1">
      <c r="A90" s="97">
        <f t="shared" si="1"/>
        <v>84</v>
      </c>
      <c r="B90" s="98" t="s">
        <v>78</v>
      </c>
      <c r="C90" s="98" t="s">
        <v>98</v>
      </c>
      <c r="D90" s="99">
        <v>14</v>
      </c>
      <c r="E90" s="99"/>
      <c r="F90" s="100">
        <f>[3]МКД!$H$146</f>
        <v>35</v>
      </c>
      <c r="G90" s="101">
        <f>H90+I90</f>
        <v>417.02134999999998</v>
      </c>
      <c r="H90" s="110">
        <f>196169.38/1000</f>
        <v>196.16938000000002</v>
      </c>
      <c r="I90" s="110">
        <f>220851.97/1000</f>
        <v>220.85196999999999</v>
      </c>
      <c r="J90" s="101">
        <f>K90+L90</f>
        <v>444.34081000000003</v>
      </c>
      <c r="K90" s="110">
        <f>215253.5/1000</f>
        <v>215.2535</v>
      </c>
      <c r="L90" s="110">
        <f>229087.31/1000</f>
        <v>229.08731</v>
      </c>
      <c r="M90" s="101">
        <f>N90+O90</f>
        <v>412.49144999999999</v>
      </c>
      <c r="N90" s="110">
        <f>216027.48/1000</f>
        <v>216.02748</v>
      </c>
      <c r="O90" s="110">
        <f>196463.97/1000</f>
        <v>196.46396999999999</v>
      </c>
      <c r="P90" s="101">
        <f>Q90+R90</f>
        <v>431.25200000000001</v>
      </c>
      <c r="Q90" s="127">
        <v>197.72300000000001</v>
      </c>
      <c r="R90" s="127">
        <v>233.529</v>
      </c>
      <c r="S90" s="48">
        <f>T90+U90</f>
        <v>481.08</v>
      </c>
      <c r="T90" s="48">
        <v>205.2</v>
      </c>
      <c r="U90" s="48">
        <v>275.88</v>
      </c>
      <c r="V90" s="48">
        <f>W90+X90</f>
        <v>525.66100000000006</v>
      </c>
      <c r="W90" s="48">
        <f>224.853-26.2</f>
        <v>198.65300000000002</v>
      </c>
      <c r="X90" s="48">
        <v>327.00799999999998</v>
      </c>
      <c r="Y90" s="123">
        <f>Z90+AA90</f>
        <v>541.471</v>
      </c>
      <c r="Z90" s="108">
        <v>214.46299999999999</v>
      </c>
      <c r="AA90" s="108">
        <v>327.00799999999998</v>
      </c>
      <c r="AB90" s="125">
        <f>AC90+AD90</f>
        <v>505.76900000000001</v>
      </c>
      <c r="AC90" s="106">
        <v>200.851</v>
      </c>
      <c r="AD90" s="106">
        <v>304.91800000000001</v>
      </c>
      <c r="AE90" s="127">
        <f>AB90/F90</f>
        <v>14.450542857142857</v>
      </c>
    </row>
    <row r="91" spans="1:31" s="105" customFormat="1">
      <c r="A91" s="97">
        <f t="shared" si="1"/>
        <v>85</v>
      </c>
      <c r="B91" s="98" t="s">
        <v>78</v>
      </c>
      <c r="C91" s="98" t="s">
        <v>81</v>
      </c>
      <c r="D91" s="99">
        <v>14</v>
      </c>
      <c r="E91" s="99"/>
      <c r="F91" s="100">
        <f>[2]МКД!$H$15</f>
        <v>24</v>
      </c>
      <c r="G91" s="101">
        <f>H91+I91</f>
        <v>419.27566999999999</v>
      </c>
      <c r="H91" s="110">
        <f>197069.11/1000</f>
        <v>197.06910999999999</v>
      </c>
      <c r="I91" s="110">
        <f>222206.56/1000</f>
        <v>222.20656</v>
      </c>
      <c r="J91" s="101">
        <f>K91+L91</f>
        <v>314.44106999999997</v>
      </c>
      <c r="K91" s="110">
        <f>179580.64/1000</f>
        <v>179.58064000000002</v>
      </c>
      <c r="L91" s="110">
        <f>134860.43/1000</f>
        <v>134.86042999999998</v>
      </c>
      <c r="M91" s="101">
        <f>N91+O91</f>
        <v>278.39846999999997</v>
      </c>
      <c r="N91" s="110">
        <f>171331.33/1000</f>
        <v>171.33132999999998</v>
      </c>
      <c r="O91" s="110">
        <f>107067.14/1000</f>
        <v>107.06713999999999</v>
      </c>
      <c r="P91" s="101">
        <f>Q91+R91</f>
        <v>210.667</v>
      </c>
      <c r="Q91" s="127">
        <v>114.893</v>
      </c>
      <c r="R91" s="127">
        <v>95.774000000000001</v>
      </c>
      <c r="S91" s="48">
        <f>T91+U91</f>
        <v>248.56</v>
      </c>
      <c r="T91" s="48">
        <v>142.44</v>
      </c>
      <c r="U91" s="48">
        <v>106.12</v>
      </c>
      <c r="V91" s="48">
        <f>W91+X91</f>
        <v>269.84900000000005</v>
      </c>
      <c r="W91" s="48">
        <v>143.91900000000001</v>
      </c>
      <c r="X91" s="48">
        <v>125.93</v>
      </c>
      <c r="Y91" s="123">
        <f>Z91+AA91</f>
        <v>304.60500000000002</v>
      </c>
      <c r="Z91" s="124">
        <v>156.78200000000001</v>
      </c>
      <c r="AA91" s="124">
        <v>147.82300000000001</v>
      </c>
      <c r="AB91" s="125">
        <f>AC91+AD91</f>
        <v>345.59399999999999</v>
      </c>
      <c r="AC91" s="106">
        <v>154.88399999999999</v>
      </c>
      <c r="AD91" s="106">
        <v>190.71</v>
      </c>
      <c r="AE91" s="127">
        <f>AB91/F91</f>
        <v>14.399749999999999</v>
      </c>
    </row>
    <row r="92" spans="1:31" s="105" customFormat="1">
      <c r="A92" s="97">
        <f t="shared" si="1"/>
        <v>86</v>
      </c>
      <c r="B92" s="98" t="s">
        <v>78</v>
      </c>
      <c r="C92" s="98" t="s">
        <v>86</v>
      </c>
      <c r="D92" s="99">
        <v>3</v>
      </c>
      <c r="E92" s="99"/>
      <c r="F92" s="100">
        <f>[2]МКД!$H$45</f>
        <v>2</v>
      </c>
      <c r="G92" s="101">
        <f>H92+I92</f>
        <v>20.034040000000001</v>
      </c>
      <c r="H92" s="110">
        <f>7734.97/1000</f>
        <v>7.7349700000000006</v>
      </c>
      <c r="I92" s="110">
        <f>12299.07/1000</f>
        <v>12.29907</v>
      </c>
      <c r="J92" s="101">
        <f>K92+L92</f>
        <v>11.54325</v>
      </c>
      <c r="K92" s="110">
        <f>11543.25/1000</f>
        <v>11.54325</v>
      </c>
      <c r="L92" s="110">
        <v>0</v>
      </c>
      <c r="M92" s="101">
        <f>N92+O92</f>
        <v>8.8179200000000009</v>
      </c>
      <c r="N92" s="110">
        <f>7919.83/1000</f>
        <v>7.9198300000000001</v>
      </c>
      <c r="O92" s="110">
        <f>898.09/1000</f>
        <v>0.89809000000000005</v>
      </c>
      <c r="P92" s="101">
        <f>Q92+R92</f>
        <v>10.353</v>
      </c>
      <c r="Q92" s="127">
        <v>6.77</v>
      </c>
      <c r="R92" s="127">
        <v>3.5830000000000002</v>
      </c>
      <c r="S92" s="48">
        <f>T92+U92</f>
        <v>15.85</v>
      </c>
      <c r="T92" s="48">
        <v>6.77</v>
      </c>
      <c r="U92" s="48">
        <v>9.08</v>
      </c>
      <c r="V92" s="48">
        <f>W92+X92</f>
        <v>15.629999999999999</v>
      </c>
      <c r="W92" s="48">
        <v>6.77</v>
      </c>
      <c r="X92" s="48">
        <v>8.86</v>
      </c>
      <c r="Y92" s="123">
        <f>Z92+AA92</f>
        <v>19.040999999999997</v>
      </c>
      <c r="Z92" s="124">
        <v>10.180999999999999</v>
      </c>
      <c r="AA92" s="124">
        <v>8.86</v>
      </c>
      <c r="AB92" s="125">
        <f>AC92+AD92</f>
        <v>26.75</v>
      </c>
      <c r="AC92" s="125">
        <v>10.180999999999999</v>
      </c>
      <c r="AD92" s="106">
        <v>16.568999999999999</v>
      </c>
      <c r="AE92" s="127">
        <f>AB92/F92</f>
        <v>13.375</v>
      </c>
    </row>
    <row r="93" spans="1:31" s="105" customFormat="1">
      <c r="A93" s="97">
        <f t="shared" si="1"/>
        <v>87</v>
      </c>
      <c r="B93" s="98" t="s">
        <v>78</v>
      </c>
      <c r="C93" s="98" t="s">
        <v>98</v>
      </c>
      <c r="D93" s="99">
        <v>43</v>
      </c>
      <c r="E93" s="99" t="s">
        <v>20</v>
      </c>
      <c r="F93" s="100">
        <f>[1]МКД!$H$339</f>
        <v>12</v>
      </c>
      <c r="G93" s="101">
        <f>H93+I93</f>
        <v>0</v>
      </c>
      <c r="H93" s="110">
        <v>0</v>
      </c>
      <c r="I93" s="110"/>
      <c r="J93" s="101">
        <f>K93+L93</f>
        <v>103.46209999999999</v>
      </c>
      <c r="K93" s="110">
        <f>54858.89/1000</f>
        <v>54.858890000000002</v>
      </c>
      <c r="L93" s="110">
        <f>48603.21/1000</f>
        <v>48.603209999999997</v>
      </c>
      <c r="M93" s="101">
        <f>N93+O93</f>
        <v>84.678460000000001</v>
      </c>
      <c r="N93" s="110">
        <f>64453.79/1000</f>
        <v>64.453789999999998</v>
      </c>
      <c r="O93" s="110">
        <f>20224.67/1000</f>
        <v>20.22467</v>
      </c>
      <c r="P93" s="101">
        <f>Q93+R93</f>
        <v>110.747</v>
      </c>
      <c r="Q93" s="127">
        <v>59.353999999999999</v>
      </c>
      <c r="R93" s="127">
        <v>51.393000000000001</v>
      </c>
      <c r="S93" s="48">
        <f>T93+U93</f>
        <v>128.81</v>
      </c>
      <c r="T93" s="48">
        <v>40.700000000000003</v>
      </c>
      <c r="U93" s="48">
        <v>88.11</v>
      </c>
      <c r="V93" s="48">
        <f>W93+X93</f>
        <v>143.96600000000001</v>
      </c>
      <c r="W93" s="48">
        <v>46.783999999999999</v>
      </c>
      <c r="X93" s="48">
        <v>97.182000000000002</v>
      </c>
      <c r="Y93" s="123">
        <f>Z93+AA93</f>
        <v>149.83600000000001</v>
      </c>
      <c r="Z93" s="108">
        <v>52.654000000000003</v>
      </c>
      <c r="AA93" s="108">
        <v>97.182000000000002</v>
      </c>
      <c r="AB93" s="125">
        <f>AC93+AD93</f>
        <v>160.392</v>
      </c>
      <c r="AC93" s="125">
        <v>52.786000000000001</v>
      </c>
      <c r="AD93" s="106">
        <v>107.60599999999999</v>
      </c>
      <c r="AE93" s="127">
        <f>AB93/F93</f>
        <v>13.366</v>
      </c>
    </row>
    <row r="94" spans="1:31" s="105" customFormat="1">
      <c r="A94" s="97">
        <f t="shared" si="1"/>
        <v>88</v>
      </c>
      <c r="B94" s="98" t="s">
        <v>78</v>
      </c>
      <c r="C94" s="98" t="s">
        <v>81</v>
      </c>
      <c r="D94" s="99">
        <v>1</v>
      </c>
      <c r="E94" s="99"/>
      <c r="F94" s="100">
        <f>[2]МКД!$H$7</f>
        <v>16</v>
      </c>
      <c r="G94" s="101">
        <f>H94+I94</f>
        <v>148.13458</v>
      </c>
      <c r="H94" s="110">
        <f>45898.96/1000</f>
        <v>45.898960000000002</v>
      </c>
      <c r="I94" s="110">
        <f>102235.62/1000</f>
        <v>102.23562</v>
      </c>
      <c r="J94" s="101">
        <f>K94+L94</f>
        <v>163.78307999999998</v>
      </c>
      <c r="K94" s="110">
        <f>74689.92/1000</f>
        <v>74.689920000000001</v>
      </c>
      <c r="L94" s="110">
        <f>89093.16/1000</f>
        <v>89.093159999999997</v>
      </c>
      <c r="M94" s="101">
        <f>N94+O94</f>
        <v>164.95379</v>
      </c>
      <c r="N94" s="110">
        <f>92252.19/1000</f>
        <v>92.252189999999999</v>
      </c>
      <c r="O94" s="110">
        <f>72701.6/1000</f>
        <v>72.701599999999999</v>
      </c>
      <c r="P94" s="101">
        <f>Q94+R94</f>
        <v>142.15899999999999</v>
      </c>
      <c r="Q94" s="127">
        <v>64.763999999999996</v>
      </c>
      <c r="R94" s="127">
        <v>77.394999999999996</v>
      </c>
      <c r="S94" s="48">
        <f>T94+U94</f>
        <v>179.95999999999998</v>
      </c>
      <c r="T94" s="48">
        <v>67.36</v>
      </c>
      <c r="U94" s="48">
        <v>112.6</v>
      </c>
      <c r="V94" s="48">
        <f>W94+X94</f>
        <v>210.625</v>
      </c>
      <c r="W94" s="48">
        <v>75.543000000000006</v>
      </c>
      <c r="X94" s="48">
        <v>135.08199999999999</v>
      </c>
      <c r="Y94" s="123">
        <f>Z94+AA94</f>
        <v>196.572</v>
      </c>
      <c r="Z94" s="124">
        <v>65.102999999999994</v>
      </c>
      <c r="AA94" s="124">
        <v>131.46899999999999</v>
      </c>
      <c r="AB94" s="125">
        <f>AC94+AD94</f>
        <v>213.62299999999999</v>
      </c>
      <c r="AC94" s="125">
        <v>66.037999999999997</v>
      </c>
      <c r="AD94" s="126">
        <v>147.58500000000001</v>
      </c>
      <c r="AE94" s="127">
        <f>AB94/F94</f>
        <v>13.351437499999999</v>
      </c>
    </row>
    <row r="95" spans="1:31" s="105" customFormat="1">
      <c r="A95" s="97">
        <f t="shared" si="1"/>
        <v>89</v>
      </c>
      <c r="B95" s="98" t="s">
        <v>78</v>
      </c>
      <c r="C95" s="98" t="s">
        <v>71</v>
      </c>
      <c r="D95" s="99">
        <v>5</v>
      </c>
      <c r="E95" s="99" t="s">
        <v>20</v>
      </c>
      <c r="F95" s="100">
        <f>[2]МКД!$H$25</f>
        <v>12</v>
      </c>
      <c r="G95" s="101">
        <f>H95+I95</f>
        <v>188.54000000000002</v>
      </c>
      <c r="H95" s="110">
        <f>67.15+68.37</f>
        <v>135.52000000000001</v>
      </c>
      <c r="I95" s="110">
        <f>8.72+44.3</f>
        <v>53.019999999999996</v>
      </c>
      <c r="J95" s="101">
        <f>K95+L95</f>
        <v>241.70000000000002</v>
      </c>
      <c r="K95" s="110">
        <f>67.15+82.08</f>
        <v>149.23000000000002</v>
      </c>
      <c r="L95" s="110">
        <f>8.62+83.85</f>
        <v>92.47</v>
      </c>
      <c r="M95" s="101">
        <f>N95+O95</f>
        <v>241.04000000000002</v>
      </c>
      <c r="N95" s="110">
        <f>67.15+84.85</f>
        <v>152</v>
      </c>
      <c r="O95" s="110">
        <f>8.62+80.42</f>
        <v>89.04</v>
      </c>
      <c r="P95" s="101">
        <f>Q95+R95</f>
        <v>237.30800000000002</v>
      </c>
      <c r="Q95" s="128">
        <f>75.547+84.7</f>
        <v>160.24700000000001</v>
      </c>
      <c r="R95" s="128">
        <f>17.231+59.83</f>
        <v>77.061000000000007</v>
      </c>
      <c r="S95" s="48">
        <f>T95+U95</f>
        <v>131.94999999999999</v>
      </c>
      <c r="T95" s="48">
        <v>97.09</v>
      </c>
      <c r="U95" s="48">
        <v>34.86</v>
      </c>
      <c r="V95" s="48">
        <f>W95+X95</f>
        <v>153.64599999999999</v>
      </c>
      <c r="W95" s="48">
        <v>106.755</v>
      </c>
      <c r="X95" s="48">
        <v>46.890999999999998</v>
      </c>
      <c r="Y95" s="123">
        <f>Z95+AA95</f>
        <v>163.74700000000001</v>
      </c>
      <c r="Z95" s="124">
        <v>117.224</v>
      </c>
      <c r="AA95" s="124">
        <v>46.523000000000003</v>
      </c>
      <c r="AB95" s="125">
        <f>AC95+AD95</f>
        <v>159.453</v>
      </c>
      <c r="AC95" s="106">
        <v>106.53400000000001</v>
      </c>
      <c r="AD95" s="106">
        <v>52.918999999999997</v>
      </c>
      <c r="AE95" s="127">
        <f>AB95/F95</f>
        <v>13.287750000000001</v>
      </c>
    </row>
    <row r="96" spans="1:31" s="105" customFormat="1">
      <c r="A96" s="97">
        <f t="shared" si="1"/>
        <v>90</v>
      </c>
      <c r="B96" s="98" t="s">
        <v>78</v>
      </c>
      <c r="C96" s="98" t="s">
        <v>92</v>
      </c>
      <c r="D96" s="99">
        <v>6</v>
      </c>
      <c r="E96" s="99"/>
      <c r="F96" s="100">
        <f>[3]МКД!$H$129</f>
        <v>8</v>
      </c>
      <c r="G96" s="101">
        <f>H96+I96</f>
        <v>91.400249999999986</v>
      </c>
      <c r="H96" s="110">
        <f>90190.56/1000</f>
        <v>90.190559999999991</v>
      </c>
      <c r="I96" s="110">
        <f>1209.69/1000</f>
        <v>1.2096900000000002</v>
      </c>
      <c r="J96" s="101">
        <f>K96+L96</f>
        <v>98.103560000000002</v>
      </c>
      <c r="K96" s="110">
        <f>96562.54/1000</f>
        <v>96.562539999999998</v>
      </c>
      <c r="L96" s="110">
        <f>1541.02/1000</f>
        <v>1.5410200000000001</v>
      </c>
      <c r="M96" s="101">
        <f>N96+O96</f>
        <v>91.821889999999996</v>
      </c>
      <c r="N96" s="110">
        <f>90601.08/1000</f>
        <v>90.601079999999996</v>
      </c>
      <c r="O96" s="110">
        <f>1220.81/1000</f>
        <v>1.22081</v>
      </c>
      <c r="P96" s="101">
        <f>Q96+R96</f>
        <v>110.208</v>
      </c>
      <c r="Q96" s="127">
        <v>74.277000000000001</v>
      </c>
      <c r="R96" s="127">
        <v>35.930999999999997</v>
      </c>
      <c r="S96" s="48">
        <f>T96+U96</f>
        <v>91.81</v>
      </c>
      <c r="T96" s="48">
        <v>90.61</v>
      </c>
      <c r="U96" s="48">
        <v>1.2</v>
      </c>
      <c r="V96" s="48">
        <f>W96+X96</f>
        <v>101.417</v>
      </c>
      <c r="W96" s="48">
        <v>99.997</v>
      </c>
      <c r="X96" s="48">
        <v>1.42</v>
      </c>
      <c r="Y96" s="123">
        <f>Z96+AA96</f>
        <v>101.795</v>
      </c>
      <c r="Z96" s="108">
        <v>100.30500000000001</v>
      </c>
      <c r="AA96" s="108">
        <v>1.49</v>
      </c>
      <c r="AB96" s="125">
        <f>AC96+AD96</f>
        <v>105.879</v>
      </c>
      <c r="AC96" s="125">
        <v>105.123</v>
      </c>
      <c r="AD96" s="106">
        <v>0.75600000000000001</v>
      </c>
      <c r="AE96" s="127">
        <f>AB96/F96</f>
        <v>13.234875000000001</v>
      </c>
    </row>
    <row r="97" spans="1:31" s="105" customFormat="1">
      <c r="A97" s="97">
        <f t="shared" si="1"/>
        <v>91</v>
      </c>
      <c r="B97" s="98" t="s">
        <v>78</v>
      </c>
      <c r="C97" s="98" t="s">
        <v>94</v>
      </c>
      <c r="D97" s="99">
        <v>5</v>
      </c>
      <c r="E97" s="99" t="s">
        <v>20</v>
      </c>
      <c r="F97" s="100">
        <f>[3]МКД!$H$135</f>
        <v>12</v>
      </c>
      <c r="G97" s="101">
        <f>H97+I97</f>
        <v>75.361099999999993</v>
      </c>
      <c r="H97" s="110">
        <f>47709.25/1000</f>
        <v>47.709249999999997</v>
      </c>
      <c r="I97" s="110">
        <f>27651.85/1000</f>
        <v>27.65185</v>
      </c>
      <c r="J97" s="101">
        <f>K97+L97</f>
        <v>109.43227</v>
      </c>
      <c r="K97" s="110">
        <f>72666.74/1000</f>
        <v>72.666740000000004</v>
      </c>
      <c r="L97" s="110">
        <f>36765.53/1000</f>
        <v>36.765529999999998</v>
      </c>
      <c r="M97" s="101">
        <f>N97+O97</f>
        <v>116.2978</v>
      </c>
      <c r="N97" s="110">
        <f>77133.09/1000</f>
        <v>77.133089999999996</v>
      </c>
      <c r="O97" s="110">
        <f>39164.71/1000</f>
        <v>39.164709999999999</v>
      </c>
      <c r="P97" s="101">
        <f>Q97+R97</f>
        <v>125.71000000000001</v>
      </c>
      <c r="Q97" s="127">
        <v>83.376000000000005</v>
      </c>
      <c r="R97" s="127">
        <v>42.334000000000003</v>
      </c>
      <c r="S97" s="48">
        <f>T97+U97</f>
        <v>137.86000000000001</v>
      </c>
      <c r="T97" s="48">
        <v>87.84</v>
      </c>
      <c r="U97" s="48">
        <v>50.02</v>
      </c>
      <c r="V97" s="48">
        <f>W97+X97</f>
        <v>138.97</v>
      </c>
      <c r="W97" s="48">
        <v>92.305000000000007</v>
      </c>
      <c r="X97" s="48">
        <v>46.664999999999999</v>
      </c>
      <c r="Y97" s="123">
        <f>Z97+AA97</f>
        <v>143.435</v>
      </c>
      <c r="Z97" s="108">
        <v>96.77</v>
      </c>
      <c r="AA97" s="108">
        <v>46.664999999999999</v>
      </c>
      <c r="AB97" s="125">
        <f>AC97+AD97</f>
        <v>155.22399999999999</v>
      </c>
      <c r="AC97" s="125">
        <v>104.298</v>
      </c>
      <c r="AD97" s="106">
        <v>50.926000000000002</v>
      </c>
      <c r="AE97" s="127">
        <f>AB97/F97</f>
        <v>12.935333333333332</v>
      </c>
    </row>
    <row r="98" spans="1:31" s="105" customFormat="1">
      <c r="A98" s="97">
        <f t="shared" si="1"/>
        <v>92</v>
      </c>
      <c r="B98" s="98" t="s">
        <v>78</v>
      </c>
      <c r="C98" s="98" t="s">
        <v>75</v>
      </c>
      <c r="D98" s="99">
        <v>12</v>
      </c>
      <c r="E98" s="99"/>
      <c r="F98" s="100">
        <f>[3]МКД!$H$90</f>
        <v>8</v>
      </c>
      <c r="G98" s="101">
        <f>H98+I98</f>
        <v>216.38633999999999</v>
      </c>
      <c r="H98" s="110">
        <f>94766.11/1000</f>
        <v>94.766109999999998</v>
      </c>
      <c r="I98" s="110">
        <f>121620.23/1000</f>
        <v>121.62022999999999</v>
      </c>
      <c r="J98" s="101">
        <f>K98+L98</f>
        <v>230.68520999999998</v>
      </c>
      <c r="K98" s="110">
        <f>111763.09/1000</f>
        <v>111.76308999999999</v>
      </c>
      <c r="L98" s="110">
        <f>118922.12/1000</f>
        <v>118.92211999999999</v>
      </c>
      <c r="M98" s="101">
        <f>N98+O98</f>
        <v>232.66412</v>
      </c>
      <c r="N98" s="110">
        <f>122966.47/1000</f>
        <v>122.96647</v>
      </c>
      <c r="O98" s="110">
        <f>109697.65/1000</f>
        <v>109.69765</v>
      </c>
      <c r="P98" s="101">
        <f>Q98+R98</f>
        <v>372.09800000000001</v>
      </c>
      <c r="Q98" s="127">
        <v>110.79</v>
      </c>
      <c r="R98" s="127">
        <v>261.30799999999999</v>
      </c>
      <c r="S98" s="48">
        <f>T98+U98</f>
        <v>115.84</v>
      </c>
      <c r="T98" s="48">
        <v>33.450000000000003</v>
      </c>
      <c r="U98" s="48">
        <v>82.39</v>
      </c>
      <c r="V98" s="48">
        <f>W98+X98</f>
        <v>119.70699999999999</v>
      </c>
      <c r="W98" s="48">
        <v>28.196000000000002</v>
      </c>
      <c r="X98" s="48">
        <v>91.510999999999996</v>
      </c>
      <c r="Y98" s="123">
        <f>Z98+AA98</f>
        <v>112.857</v>
      </c>
      <c r="Z98" s="108">
        <v>21.346</v>
      </c>
      <c r="AA98" s="108">
        <v>91.510999999999996</v>
      </c>
      <c r="AB98" s="125">
        <f>AC98+AD98</f>
        <v>102.426</v>
      </c>
      <c r="AC98" s="106">
        <v>17.588999999999999</v>
      </c>
      <c r="AD98" s="106">
        <v>84.837000000000003</v>
      </c>
      <c r="AE98" s="127">
        <f>AB98/F98</f>
        <v>12.80325</v>
      </c>
    </row>
    <row r="99" spans="1:31" s="105" customFormat="1">
      <c r="A99" s="97">
        <f t="shared" si="1"/>
        <v>93</v>
      </c>
      <c r="B99" s="98" t="s">
        <v>78</v>
      </c>
      <c r="C99" s="98" t="s">
        <v>71</v>
      </c>
      <c r="D99" s="99">
        <v>5</v>
      </c>
      <c r="E99" s="99"/>
      <c r="F99" s="100">
        <f>[2]МКД!$H$24</f>
        <v>24</v>
      </c>
      <c r="G99" s="101">
        <f>H99+I99</f>
        <v>781.31000000000006</v>
      </c>
      <c r="H99" s="110">
        <f>78.46+106.51</f>
        <v>184.97</v>
      </c>
      <c r="I99" s="110">
        <f>251.65+344.69</f>
        <v>596.34</v>
      </c>
      <c r="J99" s="101">
        <f>K99+L99</f>
        <v>916.41000000000008</v>
      </c>
      <c r="K99" s="110">
        <f>75+120.04</f>
        <v>195.04000000000002</v>
      </c>
      <c r="L99" s="110">
        <f>244.62+476.75</f>
        <v>721.37</v>
      </c>
      <c r="M99" s="101">
        <f>N99+O99</f>
        <v>950.62</v>
      </c>
      <c r="N99" s="110">
        <f>75+133.23</f>
        <v>208.23</v>
      </c>
      <c r="O99" s="110">
        <f>244.62+497.77</f>
        <v>742.39</v>
      </c>
      <c r="P99" s="101">
        <f>Q99+R99</f>
        <v>899.98099999999988</v>
      </c>
      <c r="Q99" s="128">
        <f>125.946+125.82</f>
        <v>251.76599999999999</v>
      </c>
      <c r="R99" s="128">
        <f>147.065+501.15</f>
        <v>648.21499999999992</v>
      </c>
      <c r="S99" s="48">
        <f>T99+U99</f>
        <v>236.34999999999997</v>
      </c>
      <c r="T99" s="48">
        <v>-63.49</v>
      </c>
      <c r="U99" s="48">
        <v>299.83999999999997</v>
      </c>
      <c r="V99" s="48">
        <f>W99+X99</f>
        <v>275.22899999999998</v>
      </c>
      <c r="W99" s="48">
        <v>-38.771999999999998</v>
      </c>
      <c r="X99" s="48">
        <v>314.00099999999998</v>
      </c>
      <c r="Y99" s="123">
        <f>Z99+AA99</f>
        <v>271.03399999999999</v>
      </c>
      <c r="Z99" s="124">
        <v>0</v>
      </c>
      <c r="AA99" s="124">
        <v>271.03399999999999</v>
      </c>
      <c r="AB99" s="125">
        <f>AC99+AD99</f>
        <v>306.762</v>
      </c>
      <c r="AC99" s="106">
        <v>0</v>
      </c>
      <c r="AD99" s="126">
        <v>306.762</v>
      </c>
      <c r="AE99" s="127">
        <f>AB99/F99</f>
        <v>12.781750000000001</v>
      </c>
    </row>
    <row r="100" spans="1:31" s="105" customFormat="1">
      <c r="A100" s="97">
        <f t="shared" si="1"/>
        <v>94</v>
      </c>
      <c r="B100" s="98" t="s">
        <v>78</v>
      </c>
      <c r="C100" s="98" t="s">
        <v>99</v>
      </c>
      <c r="D100" s="99">
        <v>3</v>
      </c>
      <c r="E100" s="99"/>
      <c r="F100" s="100">
        <f>[3]МКД!$H$161</f>
        <v>16</v>
      </c>
      <c r="G100" s="101">
        <f>H100+I100</f>
        <v>219.70099999999999</v>
      </c>
      <c r="H100" s="110">
        <f>162290.29/1000</f>
        <v>162.29029</v>
      </c>
      <c r="I100" s="110">
        <f>57410.71/1000</f>
        <v>57.410710000000002</v>
      </c>
      <c r="J100" s="101">
        <f>K100+L100</f>
        <v>216.98916</v>
      </c>
      <c r="K100" s="110">
        <f>169307.37/1000</f>
        <v>169.30736999999999</v>
      </c>
      <c r="L100" s="110">
        <f>47681.79/1000</f>
        <v>47.681789999999999</v>
      </c>
      <c r="M100" s="101">
        <f>N100+O100</f>
        <v>198.45892000000001</v>
      </c>
      <c r="N100" s="110">
        <f>170902.78/1000</f>
        <v>170.90278000000001</v>
      </c>
      <c r="O100" s="110">
        <f>27556.14/1000</f>
        <v>27.556139999999999</v>
      </c>
      <c r="P100" s="101">
        <f>Q100+R100</f>
        <v>210.47000000000003</v>
      </c>
      <c r="Q100" s="127">
        <v>129.91300000000001</v>
      </c>
      <c r="R100" s="127">
        <v>80.557000000000002</v>
      </c>
      <c r="S100" s="48">
        <f>T100+U100</f>
        <v>240.41</v>
      </c>
      <c r="T100" s="48">
        <v>135</v>
      </c>
      <c r="U100" s="48">
        <v>105.41</v>
      </c>
      <c r="V100" s="48">
        <f>W100+X100</f>
        <v>249.09199999999998</v>
      </c>
      <c r="W100" s="48">
        <v>137.78</v>
      </c>
      <c r="X100" s="48">
        <v>111.312</v>
      </c>
      <c r="Y100" s="123">
        <f>Z100+AA100</f>
        <v>248.25700000000001</v>
      </c>
      <c r="Z100" s="108">
        <v>132.63999999999999</v>
      </c>
      <c r="AA100" s="108">
        <v>115.617</v>
      </c>
      <c r="AB100" s="125">
        <f>AC100+AD100</f>
        <v>197.65199999999999</v>
      </c>
      <c r="AC100" s="125">
        <v>89.19</v>
      </c>
      <c r="AD100" s="106">
        <v>108.462</v>
      </c>
      <c r="AE100" s="127">
        <f>AB100/F100</f>
        <v>12.353249999999999</v>
      </c>
    </row>
    <row r="101" spans="1:31" s="105" customFormat="1">
      <c r="A101" s="97">
        <f t="shared" si="1"/>
        <v>95</v>
      </c>
      <c r="B101" s="98" t="s">
        <v>78</v>
      </c>
      <c r="C101" s="98" t="s">
        <v>81</v>
      </c>
      <c r="D101" s="99">
        <v>16</v>
      </c>
      <c r="E101" s="99"/>
      <c r="F101" s="100">
        <f>[2]МКД!$H$16</f>
        <v>16</v>
      </c>
      <c r="G101" s="101">
        <f>H101+I101</f>
        <v>232.11402999999996</v>
      </c>
      <c r="H101" s="110">
        <f>82430.45/1000</f>
        <v>82.430449999999993</v>
      </c>
      <c r="I101" s="110">
        <f>149683.58/1000</f>
        <v>149.68357999999998</v>
      </c>
      <c r="J101" s="101">
        <f>K101+L101</f>
        <v>200.22221999999999</v>
      </c>
      <c r="K101" s="110">
        <f>59883.6/1000</f>
        <v>59.883600000000001</v>
      </c>
      <c r="L101" s="110">
        <f>140338.62/1000</f>
        <v>140.33861999999999</v>
      </c>
      <c r="M101" s="101">
        <f>N101+O101</f>
        <v>154.04397</v>
      </c>
      <c r="N101" s="110">
        <f>59817.18/1000</f>
        <v>59.81718</v>
      </c>
      <c r="O101" s="110">
        <f>94226.79/1000</f>
        <v>94.226789999999994</v>
      </c>
      <c r="P101" s="101">
        <f>Q101+R101</f>
        <v>163.386</v>
      </c>
      <c r="Q101" s="127">
        <v>49.673000000000002</v>
      </c>
      <c r="R101" s="127">
        <v>113.71299999999999</v>
      </c>
      <c r="S101" s="48">
        <f>T101+U101</f>
        <v>188.17</v>
      </c>
      <c r="T101" s="48">
        <v>49.25</v>
      </c>
      <c r="U101" s="48">
        <v>138.91999999999999</v>
      </c>
      <c r="V101" s="48">
        <f>W101+X101</f>
        <v>180.62899999999999</v>
      </c>
      <c r="W101" s="48">
        <v>51.658999999999999</v>
      </c>
      <c r="X101" s="48">
        <v>128.97</v>
      </c>
      <c r="Y101" s="123">
        <f>Z101+AA101</f>
        <v>181.67699999999999</v>
      </c>
      <c r="Z101" s="124">
        <v>52.707000000000001</v>
      </c>
      <c r="AA101" s="124">
        <v>128.97</v>
      </c>
      <c r="AB101" s="125">
        <f>AC101+AD101</f>
        <v>194.29300000000001</v>
      </c>
      <c r="AC101" s="125">
        <v>53.220999999999997</v>
      </c>
      <c r="AD101" s="126">
        <v>141.072</v>
      </c>
      <c r="AE101" s="127">
        <f>AB101/F101</f>
        <v>12.1433125</v>
      </c>
    </row>
    <row r="102" spans="1:31" s="105" customFormat="1">
      <c r="A102" s="97">
        <f t="shared" si="1"/>
        <v>96</v>
      </c>
      <c r="B102" s="98" t="s">
        <v>78</v>
      </c>
      <c r="C102" s="98" t="s">
        <v>19</v>
      </c>
      <c r="D102" s="99">
        <v>47</v>
      </c>
      <c r="E102" s="99" t="s">
        <v>20</v>
      </c>
      <c r="F102" s="100">
        <f>[2]МКД!$H$53</f>
        <v>12</v>
      </c>
      <c r="G102" s="101">
        <f>H102+I102</f>
        <v>205.12887999999998</v>
      </c>
      <c r="H102" s="110">
        <f>199797.53/1000</f>
        <v>199.79752999999999</v>
      </c>
      <c r="I102" s="110">
        <f>5331.35/1000</f>
        <v>5.3313500000000005</v>
      </c>
      <c r="J102" s="101">
        <f>K102+L102</f>
        <v>209.49222000000003</v>
      </c>
      <c r="K102" s="110">
        <f>204011.79/1000</f>
        <v>204.01179000000002</v>
      </c>
      <c r="L102" s="110">
        <f>5480.43/1000</f>
        <v>5.4804300000000001</v>
      </c>
      <c r="M102" s="101">
        <f>N102+O102</f>
        <v>172.06044999999997</v>
      </c>
      <c r="N102" s="110">
        <f>167283.36/1000</f>
        <v>167.28335999999999</v>
      </c>
      <c r="O102" s="110">
        <f>4777.09/1000</f>
        <v>4.7770900000000003</v>
      </c>
      <c r="P102" s="101">
        <f>Q102+R102</f>
        <v>129.27799999999999</v>
      </c>
      <c r="Q102" s="127">
        <v>130.303</v>
      </c>
      <c r="R102" s="127">
        <v>-1.0249999999999999</v>
      </c>
      <c r="S102" s="48">
        <f>T102+U102</f>
        <v>138.36000000000001</v>
      </c>
      <c r="T102" s="48">
        <v>158.77000000000001</v>
      </c>
      <c r="U102" s="48">
        <v>-20.41</v>
      </c>
      <c r="V102" s="48">
        <f>W102+X102</f>
        <v>144.09300000000002</v>
      </c>
      <c r="W102" s="48">
        <v>164.58500000000001</v>
      </c>
      <c r="X102" s="48">
        <v>-20.492000000000001</v>
      </c>
      <c r="Y102" s="123">
        <f>Z102+AA102</f>
        <v>163.107</v>
      </c>
      <c r="Z102" s="108">
        <v>163.107</v>
      </c>
      <c r="AA102" s="108">
        <v>0</v>
      </c>
      <c r="AB102" s="125">
        <f>AC102+AD102</f>
        <v>145.59799999999998</v>
      </c>
      <c r="AC102" s="106">
        <v>168.33199999999999</v>
      </c>
      <c r="AD102" s="106">
        <v>-22.734000000000002</v>
      </c>
      <c r="AE102" s="127">
        <f>AB102/F102</f>
        <v>12.133166666666666</v>
      </c>
    </row>
    <row r="103" spans="1:31" s="105" customFormat="1">
      <c r="A103" s="97">
        <f t="shared" si="1"/>
        <v>97</v>
      </c>
      <c r="B103" s="98" t="s">
        <v>78</v>
      </c>
      <c r="C103" s="98" t="s">
        <v>19</v>
      </c>
      <c r="D103" s="99">
        <v>54</v>
      </c>
      <c r="E103" s="99"/>
      <c r="F103" s="100">
        <f>[2]МКД!$H$59</f>
        <v>12</v>
      </c>
      <c r="G103" s="101">
        <f>H103+I103</f>
        <v>171.92128999999997</v>
      </c>
      <c r="H103" s="110">
        <f>98.993+59.08</f>
        <v>158.07299999999998</v>
      </c>
      <c r="I103" s="110">
        <f>1.06829+12.78</f>
        <v>13.848289999999999</v>
      </c>
      <c r="J103" s="101">
        <f>K103+L103</f>
        <v>193.70559</v>
      </c>
      <c r="K103" s="110">
        <f>98.99308+85.97</f>
        <v>184.96307999999999</v>
      </c>
      <c r="L103" s="110">
        <f>1.12251+7.62</f>
        <v>8.7425099999999993</v>
      </c>
      <c r="M103" s="101">
        <f>N103+O103</f>
        <v>199.60308000000001</v>
      </c>
      <c r="N103" s="110">
        <f>98.99308+92.46</f>
        <v>191.45308</v>
      </c>
      <c r="O103" s="110">
        <f>1.12+7.03</f>
        <v>8.15</v>
      </c>
      <c r="P103" s="101">
        <f>Q103+R103</f>
        <v>180.048</v>
      </c>
      <c r="Q103" s="128">
        <f>94.234+82.71</f>
        <v>176.94399999999999</v>
      </c>
      <c r="R103" s="128">
        <f>-3.636+6.74</f>
        <v>3.1040000000000001</v>
      </c>
      <c r="S103" s="48">
        <f>T103+U103</f>
        <v>124.00999999999999</v>
      </c>
      <c r="T103" s="48">
        <v>122.21</v>
      </c>
      <c r="U103" s="48">
        <v>1.8</v>
      </c>
      <c r="V103" s="48">
        <f>W103+X103</f>
        <v>138.71299999999999</v>
      </c>
      <c r="W103" s="48">
        <v>136.512</v>
      </c>
      <c r="X103" s="48">
        <v>2.2010000000000001</v>
      </c>
      <c r="Y103" s="123">
        <f>Z103+AA103</f>
        <v>141.613</v>
      </c>
      <c r="Z103" s="124">
        <v>139.41200000000001</v>
      </c>
      <c r="AA103" s="124">
        <v>2.2010000000000001</v>
      </c>
      <c r="AB103" s="125">
        <f>AC103+AD103</f>
        <v>143.65199999999999</v>
      </c>
      <c r="AC103" s="106">
        <v>142.23099999999999</v>
      </c>
      <c r="AD103" s="106">
        <v>1.421</v>
      </c>
      <c r="AE103" s="127">
        <f>AB103/F103</f>
        <v>11.970999999999998</v>
      </c>
    </row>
    <row r="104" spans="1:31" s="105" customFormat="1">
      <c r="A104" s="97">
        <f t="shared" si="1"/>
        <v>98</v>
      </c>
      <c r="B104" s="98" t="s">
        <v>78</v>
      </c>
      <c r="C104" s="98" t="s">
        <v>99</v>
      </c>
      <c r="D104" s="99">
        <v>5</v>
      </c>
      <c r="E104" s="99"/>
      <c r="F104" s="100">
        <f>[3]МКД!$H$164</f>
        <v>12</v>
      </c>
      <c r="G104" s="101">
        <f>H104+I104</f>
        <v>164.87461999999999</v>
      </c>
      <c r="H104" s="110">
        <f>74142.03/1000</f>
        <v>74.142030000000005</v>
      </c>
      <c r="I104" s="110">
        <f>90732.59/1000</f>
        <v>90.732590000000002</v>
      </c>
      <c r="J104" s="101">
        <f>K104+L104</f>
        <v>167.95897000000002</v>
      </c>
      <c r="K104" s="110">
        <f>75056.95/1000</f>
        <v>75.056950000000001</v>
      </c>
      <c r="L104" s="110">
        <f>92902.02/1000</f>
        <v>92.902020000000007</v>
      </c>
      <c r="M104" s="101">
        <f>N104+O104</f>
        <v>131.93821</v>
      </c>
      <c r="N104" s="110">
        <f>72453.68/1000</f>
        <v>72.453679999999991</v>
      </c>
      <c r="O104" s="110">
        <f>59484.53/1000</f>
        <v>59.484529999999999</v>
      </c>
      <c r="P104" s="101">
        <f>Q104+R104</f>
        <v>57.277999999999999</v>
      </c>
      <c r="Q104" s="127">
        <v>30.452999999999999</v>
      </c>
      <c r="R104" s="127">
        <v>26.824999999999999</v>
      </c>
      <c r="S104" s="48">
        <f>T104+U104</f>
        <v>116.77</v>
      </c>
      <c r="T104" s="48">
        <v>48.2</v>
      </c>
      <c r="U104" s="48">
        <v>68.569999999999993</v>
      </c>
      <c r="V104" s="48">
        <f>W104+X104</f>
        <v>134.96199999999999</v>
      </c>
      <c r="W104" s="48">
        <v>54.12</v>
      </c>
      <c r="X104" s="48">
        <v>80.841999999999999</v>
      </c>
      <c r="Y104" s="123">
        <f>Z104+AA104</f>
        <v>128.38900000000001</v>
      </c>
      <c r="Z104" s="108">
        <v>46.338999999999999</v>
      </c>
      <c r="AA104" s="108">
        <v>82.05</v>
      </c>
      <c r="AB104" s="125">
        <f>AC104+AD104</f>
        <v>143.595</v>
      </c>
      <c r="AC104" s="125">
        <v>48.593000000000004</v>
      </c>
      <c r="AD104" s="106">
        <v>95.001999999999995</v>
      </c>
      <c r="AE104" s="127">
        <f>AB104/F104</f>
        <v>11.96625</v>
      </c>
    </row>
    <row r="105" spans="1:31" s="105" customFormat="1">
      <c r="A105" s="97">
        <f t="shared" si="1"/>
        <v>99</v>
      </c>
      <c r="B105" s="98" t="s">
        <v>78</v>
      </c>
      <c r="C105" s="98" t="s">
        <v>81</v>
      </c>
      <c r="D105" s="99">
        <v>2</v>
      </c>
      <c r="E105" s="99"/>
      <c r="F105" s="100">
        <f>[2]МКД!$H$8</f>
        <v>16</v>
      </c>
      <c r="G105" s="101">
        <f>H105+I105</f>
        <v>130.65541999999999</v>
      </c>
      <c r="H105" s="110">
        <f>59264.39/1000</f>
        <v>59.264389999999999</v>
      </c>
      <c r="I105" s="110">
        <f>71391.03/1000</f>
        <v>71.391030000000001</v>
      </c>
      <c r="J105" s="101">
        <f>K105+L105</f>
        <v>178.27202</v>
      </c>
      <c r="K105" s="110">
        <f>98885.29/1000</f>
        <v>98.885289999999998</v>
      </c>
      <c r="L105" s="110">
        <f>79386.73/1000</f>
        <v>79.38673</v>
      </c>
      <c r="M105" s="101">
        <f>N105+O105</f>
        <v>166.35933</v>
      </c>
      <c r="N105" s="110">
        <f>107573.15/1000</f>
        <v>107.57315</v>
      </c>
      <c r="O105" s="110">
        <f>58786.18/1000</f>
        <v>58.786180000000002</v>
      </c>
      <c r="P105" s="101">
        <f>Q105+R105</f>
        <v>150.93100000000001</v>
      </c>
      <c r="Q105" s="127">
        <v>59.295999999999999</v>
      </c>
      <c r="R105" s="127">
        <v>91.635000000000005</v>
      </c>
      <c r="S105" s="48">
        <f>T105+U105</f>
        <v>190</v>
      </c>
      <c r="T105" s="48">
        <v>50.8</v>
      </c>
      <c r="U105" s="48">
        <v>139.19999999999999</v>
      </c>
      <c r="V105" s="48">
        <f>W105+X105</f>
        <v>191.00700000000001</v>
      </c>
      <c r="W105" s="48">
        <v>46.676000000000002</v>
      </c>
      <c r="X105" s="48">
        <v>144.33099999999999</v>
      </c>
      <c r="Y105" s="123">
        <f>Z105+AA105</f>
        <v>191.72399999999999</v>
      </c>
      <c r="Z105" s="124">
        <v>49.735999999999997</v>
      </c>
      <c r="AA105" s="124">
        <v>141.988</v>
      </c>
      <c r="AB105" s="125">
        <f>AC105+AD105</f>
        <v>191.27199999999999</v>
      </c>
      <c r="AC105" s="106">
        <v>48.768000000000001</v>
      </c>
      <c r="AD105" s="106">
        <v>142.50399999999999</v>
      </c>
      <c r="AE105" s="127">
        <f>AB105/F105</f>
        <v>11.954499999999999</v>
      </c>
    </row>
    <row r="106" spans="1:31" s="105" customFormat="1">
      <c r="A106" s="97">
        <f t="shared" si="1"/>
        <v>100</v>
      </c>
      <c r="B106" s="98" t="s">
        <v>78</v>
      </c>
      <c r="C106" s="98" t="s">
        <v>76</v>
      </c>
      <c r="D106" s="99">
        <v>3</v>
      </c>
      <c r="E106" s="99" t="s">
        <v>21</v>
      </c>
      <c r="F106" s="100">
        <f>[3]МКД!$H$123</f>
        <v>126</v>
      </c>
      <c r="G106" s="101">
        <f>H106+I106</f>
        <v>1567.71207</v>
      </c>
      <c r="H106" s="110">
        <f>1003192.48/1000</f>
        <v>1003.1924799999999</v>
      </c>
      <c r="I106" s="110">
        <f>564519.59/1000</f>
        <v>564.51958999999999</v>
      </c>
      <c r="J106" s="101">
        <f>K106+L106</f>
        <v>1786.01712</v>
      </c>
      <c r="K106" s="110">
        <f>1120856.6/1000</f>
        <v>1120.8566000000001</v>
      </c>
      <c r="L106" s="110">
        <f>665160.52/1000</f>
        <v>665.16052000000002</v>
      </c>
      <c r="M106" s="101">
        <f>N106+O106</f>
        <v>1797.7211699999998</v>
      </c>
      <c r="N106" s="110">
        <f>1140699.42/1000</f>
        <v>1140.6994199999999</v>
      </c>
      <c r="O106" s="110">
        <f>657021.75/1000</f>
        <v>657.02175</v>
      </c>
      <c r="P106" s="101">
        <f>Q106+R106</f>
        <v>1679.5309999999999</v>
      </c>
      <c r="Q106" s="127">
        <v>1072.7550000000001</v>
      </c>
      <c r="R106" s="127">
        <v>606.77599999999995</v>
      </c>
      <c r="S106" s="48">
        <f>T106+U106</f>
        <v>1764.09</v>
      </c>
      <c r="T106" s="48">
        <v>1114.8</v>
      </c>
      <c r="U106" s="48">
        <v>649.29</v>
      </c>
      <c r="V106" s="48">
        <f>W106+X106</f>
        <v>1545.7350000000001</v>
      </c>
      <c r="W106" s="48">
        <f>1002.931-27.418</f>
        <v>975.51300000000003</v>
      </c>
      <c r="X106" s="48">
        <f>570.392-0.17</f>
        <v>570.22200000000009</v>
      </c>
      <c r="Y106" s="123">
        <f>Z106+AA106</f>
        <v>1678.509</v>
      </c>
      <c r="Z106" s="108">
        <v>1021.65</v>
      </c>
      <c r="AA106" s="108">
        <v>656.85900000000004</v>
      </c>
      <c r="AB106" s="125">
        <f>AC106+AD106</f>
        <v>1484.3</v>
      </c>
      <c r="AC106" s="106">
        <v>1012.893</v>
      </c>
      <c r="AD106" s="106">
        <v>471.40699999999998</v>
      </c>
      <c r="AE106" s="127">
        <f>AB106/F106</f>
        <v>11.78015873015873</v>
      </c>
    </row>
    <row r="107" spans="1:31" s="105" customFormat="1">
      <c r="A107" s="97">
        <f t="shared" si="1"/>
        <v>101</v>
      </c>
      <c r="B107" s="98" t="s">
        <v>78</v>
      </c>
      <c r="C107" s="98" t="s">
        <v>94</v>
      </c>
      <c r="D107" s="99">
        <v>3</v>
      </c>
      <c r="E107" s="99" t="s">
        <v>20</v>
      </c>
      <c r="F107" s="100">
        <f>[3]МКД!$H$134</f>
        <v>12</v>
      </c>
      <c r="G107" s="101">
        <f>H107+I107</f>
        <v>72.146929999999998</v>
      </c>
      <c r="H107" s="110">
        <f>35143.84/1000</f>
        <v>35.143839999999997</v>
      </c>
      <c r="I107" s="110">
        <f>37003.09/1000</f>
        <v>37.003089999999993</v>
      </c>
      <c r="J107" s="101">
        <f>K107+L107</f>
        <v>117.58194999999999</v>
      </c>
      <c r="K107" s="110">
        <f>39827.89/1000</f>
        <v>39.827889999999996</v>
      </c>
      <c r="L107" s="110">
        <f>77754.06/1000</f>
        <v>77.754059999999996</v>
      </c>
      <c r="M107" s="101">
        <f>N107+O107</f>
        <v>135.16678000000002</v>
      </c>
      <c r="N107" s="110">
        <f>44498.71/1000</f>
        <v>44.498710000000003</v>
      </c>
      <c r="O107" s="110">
        <f>90668.07/1000</f>
        <v>90.66807</v>
      </c>
      <c r="P107" s="101">
        <f>Q107+R107</f>
        <v>138.26</v>
      </c>
      <c r="Q107" s="127">
        <v>46.362000000000002</v>
      </c>
      <c r="R107" s="127">
        <v>91.897999999999996</v>
      </c>
      <c r="S107" s="48">
        <f>T107+U107</f>
        <v>143.62</v>
      </c>
      <c r="T107" s="48">
        <v>49.75</v>
      </c>
      <c r="U107" s="48">
        <v>93.87</v>
      </c>
      <c r="V107" s="48">
        <f>W107+X107</f>
        <v>134.78200000000001</v>
      </c>
      <c r="W107" s="48">
        <v>48.295999999999999</v>
      </c>
      <c r="X107" s="48">
        <v>86.486000000000004</v>
      </c>
      <c r="Y107" s="123">
        <f>Z107+AA107</f>
        <v>137.34200000000001</v>
      </c>
      <c r="Z107" s="108">
        <v>50.856000000000002</v>
      </c>
      <c r="AA107" s="108">
        <v>86.486000000000004</v>
      </c>
      <c r="AB107" s="125">
        <f>AC107+AD107</f>
        <v>138.79900000000001</v>
      </c>
      <c r="AC107" s="125">
        <v>50.890999999999998</v>
      </c>
      <c r="AD107" s="106">
        <v>87.908000000000001</v>
      </c>
      <c r="AE107" s="127">
        <f>AB107/F107</f>
        <v>11.566583333333334</v>
      </c>
    </row>
    <row r="108" spans="1:31" s="105" customFormat="1">
      <c r="A108" s="97">
        <f t="shared" si="1"/>
        <v>102</v>
      </c>
      <c r="B108" s="98" t="s">
        <v>78</v>
      </c>
      <c r="C108" s="104" t="s">
        <v>95</v>
      </c>
      <c r="D108" s="111">
        <v>5</v>
      </c>
      <c r="E108" s="104"/>
      <c r="F108" s="100">
        <f>[3]МКД!$H$140</f>
        <v>12</v>
      </c>
      <c r="G108" s="101">
        <f>H108+I108</f>
        <v>127.392</v>
      </c>
      <c r="H108" s="112">
        <f>33990.06/1000</f>
        <v>33.99006</v>
      </c>
      <c r="I108" s="112">
        <f>93401.94/1000</f>
        <v>93.401939999999996</v>
      </c>
      <c r="J108" s="101">
        <f>K108+L108</f>
        <v>146.73652999999999</v>
      </c>
      <c r="K108" s="110">
        <f>38632.31/1000</f>
        <v>38.632309999999997</v>
      </c>
      <c r="L108" s="110">
        <f>108104.22/1000</f>
        <v>108.10422</v>
      </c>
      <c r="M108" s="101">
        <f>N108+O108</f>
        <v>99.547390000000007</v>
      </c>
      <c r="N108" s="110">
        <f>32934.25/1000</f>
        <v>32.934249999999999</v>
      </c>
      <c r="O108" s="110">
        <f>66613.14/1000</f>
        <v>66.613140000000001</v>
      </c>
      <c r="P108" s="101">
        <f>Q108+R108</f>
        <v>68.638999999999996</v>
      </c>
      <c r="Q108" s="127">
        <v>16.114000000000001</v>
      </c>
      <c r="R108" s="127">
        <v>52.524999999999999</v>
      </c>
      <c r="S108" s="48">
        <f>T108+U108</f>
        <v>118.26</v>
      </c>
      <c r="T108" s="48">
        <v>28.14</v>
      </c>
      <c r="U108" s="48">
        <v>90.12</v>
      </c>
      <c r="V108" s="48">
        <f>W108+X108</f>
        <v>141.512</v>
      </c>
      <c r="W108" s="48">
        <v>34.338999999999999</v>
      </c>
      <c r="X108" s="48">
        <v>107.173</v>
      </c>
      <c r="Y108" s="123">
        <f>Z108+AA108</f>
        <v>146.06100000000001</v>
      </c>
      <c r="Z108" s="108">
        <v>33.762999999999998</v>
      </c>
      <c r="AA108" s="108">
        <v>112.298</v>
      </c>
      <c r="AB108" s="125">
        <f>AC108+AD108</f>
        <v>135.273</v>
      </c>
      <c r="AC108" s="125">
        <v>31.692</v>
      </c>
      <c r="AD108" s="106">
        <v>103.581</v>
      </c>
      <c r="AE108" s="127">
        <f>AB108/F108</f>
        <v>11.27275</v>
      </c>
    </row>
    <row r="109" spans="1:31" s="105" customFormat="1">
      <c r="A109" s="97">
        <f t="shared" si="1"/>
        <v>103</v>
      </c>
      <c r="B109" s="98" t="s">
        <v>78</v>
      </c>
      <c r="C109" s="98" t="s">
        <v>38</v>
      </c>
      <c r="D109" s="99">
        <v>20</v>
      </c>
      <c r="E109" s="99"/>
      <c r="F109" s="100">
        <f>[3]МКД!$H$97</f>
        <v>8</v>
      </c>
      <c r="G109" s="101">
        <f>H109+I109</f>
        <v>88.876869999999997</v>
      </c>
      <c r="H109" s="110">
        <f>37939.42/1000</f>
        <v>37.939419999999998</v>
      </c>
      <c r="I109" s="110">
        <f>50937.45/1000</f>
        <v>50.937449999999998</v>
      </c>
      <c r="J109" s="101">
        <f>K109+L109</f>
        <v>94.328360000000004</v>
      </c>
      <c r="K109" s="110">
        <f>39555.95/1000</f>
        <v>39.555949999999996</v>
      </c>
      <c r="L109" s="110">
        <f>54772.41/1000</f>
        <v>54.772410000000001</v>
      </c>
      <c r="M109" s="101">
        <f>N109+O109</f>
        <v>89.077520000000007</v>
      </c>
      <c r="N109" s="110">
        <f>40731.65/1000</f>
        <v>40.731650000000002</v>
      </c>
      <c r="O109" s="110">
        <f>48345.87/1000</f>
        <v>48.345870000000005</v>
      </c>
      <c r="P109" s="101">
        <f>Q109+R109</f>
        <v>54.84</v>
      </c>
      <c r="Q109" s="127">
        <v>4.0780000000000003</v>
      </c>
      <c r="R109" s="127">
        <v>50.762</v>
      </c>
      <c r="S109" s="48">
        <f>T109+U109</f>
        <v>90.5</v>
      </c>
      <c r="T109" s="48">
        <v>33.07</v>
      </c>
      <c r="U109" s="48">
        <v>57.43</v>
      </c>
      <c r="V109" s="48">
        <f>W109+X109</f>
        <v>114.68799999999999</v>
      </c>
      <c r="W109" s="48">
        <v>41.235999999999997</v>
      </c>
      <c r="X109" s="48">
        <v>73.451999999999998</v>
      </c>
      <c r="Y109" s="123">
        <f>Z109+AA109</f>
        <v>111.09899999999999</v>
      </c>
      <c r="Z109" s="108">
        <v>37.646999999999998</v>
      </c>
      <c r="AA109" s="108">
        <v>73.451999999999998</v>
      </c>
      <c r="AB109" s="125">
        <f>AC109+AD109</f>
        <v>84.11099999999999</v>
      </c>
      <c r="AC109" s="125">
        <v>35.155999999999999</v>
      </c>
      <c r="AD109" s="106">
        <v>48.954999999999998</v>
      </c>
      <c r="AE109" s="127">
        <f>AB109/F109</f>
        <v>10.513874999999999</v>
      </c>
    </row>
    <row r="110" spans="1:31" s="105" customFormat="1">
      <c r="A110" s="97">
        <f t="shared" si="1"/>
        <v>104</v>
      </c>
      <c r="B110" s="98" t="s">
        <v>78</v>
      </c>
      <c r="C110" s="98" t="s">
        <v>37</v>
      </c>
      <c r="D110" s="99">
        <v>9</v>
      </c>
      <c r="E110" s="99" t="s">
        <v>20</v>
      </c>
      <c r="F110" s="100">
        <f>[3]МКД!$H$79</f>
        <v>12</v>
      </c>
      <c r="G110" s="101">
        <f>H110+I110</f>
        <v>111.18792999999999</v>
      </c>
      <c r="H110" s="110">
        <f>61689.65/1000</f>
        <v>61.68965</v>
      </c>
      <c r="I110" s="110">
        <f>49498.28/1000</f>
        <v>49.498280000000001</v>
      </c>
      <c r="J110" s="101">
        <f>K110+L110</f>
        <v>104.81153</v>
      </c>
      <c r="K110" s="110">
        <f>53322.75/1000</f>
        <v>53.322749999999999</v>
      </c>
      <c r="L110" s="110">
        <f>51488.78/1000</f>
        <v>51.488779999999998</v>
      </c>
      <c r="M110" s="101">
        <f>N110+O110</f>
        <v>120.27132</v>
      </c>
      <c r="N110" s="110">
        <f>58241.4/1000</f>
        <v>58.241399999999999</v>
      </c>
      <c r="O110" s="110">
        <f>62029.92/1000</f>
        <v>62.029919999999997</v>
      </c>
      <c r="P110" s="101">
        <f>Q110+R110</f>
        <v>123.37899999999999</v>
      </c>
      <c r="Q110" s="127">
        <v>58.241999999999997</v>
      </c>
      <c r="R110" s="127">
        <v>65.137</v>
      </c>
      <c r="S110" s="48">
        <f>T110+U110</f>
        <v>123.41</v>
      </c>
      <c r="T110" s="48">
        <v>56.45</v>
      </c>
      <c r="U110" s="48">
        <v>66.959999999999994</v>
      </c>
      <c r="V110" s="48">
        <f>W110+X110</f>
        <v>134.376</v>
      </c>
      <c r="W110" s="48">
        <v>58.834000000000003</v>
      </c>
      <c r="X110" s="48">
        <v>75.542000000000002</v>
      </c>
      <c r="Y110" s="123">
        <f>Z110+AA110</f>
        <v>136.75800000000001</v>
      </c>
      <c r="Z110" s="108">
        <v>61.216000000000001</v>
      </c>
      <c r="AA110" s="108">
        <v>75.542000000000002</v>
      </c>
      <c r="AB110" s="125">
        <f>AC110+AD110</f>
        <v>123.58800000000001</v>
      </c>
      <c r="AC110" s="125">
        <v>53.536000000000001</v>
      </c>
      <c r="AD110" s="106">
        <v>70.052000000000007</v>
      </c>
      <c r="AE110" s="127">
        <f>AB110/F110</f>
        <v>10.299000000000001</v>
      </c>
    </row>
    <row r="111" spans="1:31" s="105" customFormat="1">
      <c r="A111" s="97">
        <f t="shared" si="1"/>
        <v>105</v>
      </c>
      <c r="B111" s="98" t="s">
        <v>78</v>
      </c>
      <c r="C111" s="98" t="s">
        <v>83</v>
      </c>
      <c r="D111" s="99">
        <v>14</v>
      </c>
      <c r="E111" s="99"/>
      <c r="F111" s="100">
        <f>[1]МКД!$H$235</f>
        <v>8</v>
      </c>
      <c r="G111" s="101">
        <f>H111+I111</f>
        <v>0</v>
      </c>
      <c r="H111" s="110">
        <v>0</v>
      </c>
      <c r="I111" s="110"/>
      <c r="J111" s="101">
        <f>K111+L111</f>
        <v>53.685859999999998</v>
      </c>
      <c r="K111" s="110">
        <f>52572.52/1000</f>
        <v>52.572519999999997</v>
      </c>
      <c r="L111" s="110">
        <f>1113.34/1000</f>
        <v>1.11334</v>
      </c>
      <c r="M111" s="101">
        <f>N111+O111</f>
        <v>60.377600000000001</v>
      </c>
      <c r="N111" s="110">
        <f>59139.86/1000</f>
        <v>59.139859999999999</v>
      </c>
      <c r="O111" s="110">
        <f>1237.74/1000</f>
        <v>1.2377400000000001</v>
      </c>
      <c r="P111" s="101">
        <f>Q111+R111</f>
        <v>69.674999999999997</v>
      </c>
      <c r="Q111" s="127">
        <v>68.971000000000004</v>
      </c>
      <c r="R111" s="127">
        <v>0.70399999999999996</v>
      </c>
      <c r="S111" s="48">
        <f>T111+U111</f>
        <v>71.838999999999999</v>
      </c>
      <c r="T111" s="48">
        <v>70.989000000000004</v>
      </c>
      <c r="U111" s="48">
        <v>0.85</v>
      </c>
      <c r="V111" s="48">
        <f>W111+X111</f>
        <v>75.242999999999995</v>
      </c>
      <c r="W111" s="48">
        <v>74.27</v>
      </c>
      <c r="X111" s="48">
        <v>0.97299999999999998</v>
      </c>
      <c r="Y111" s="123">
        <f>Z111+AA111</f>
        <v>80.203000000000003</v>
      </c>
      <c r="Z111" s="124">
        <v>79.152000000000001</v>
      </c>
      <c r="AA111" s="124">
        <v>1.0509999999999999</v>
      </c>
      <c r="AB111" s="125">
        <f>AC111+AD111</f>
        <v>79.448000000000008</v>
      </c>
      <c r="AC111" s="106">
        <v>78.87</v>
      </c>
      <c r="AD111" s="106">
        <v>0.57799999999999996</v>
      </c>
      <c r="AE111" s="127">
        <f>AB111/F111</f>
        <v>9.9310000000000009</v>
      </c>
    </row>
    <row r="112" spans="1:31" s="105" customFormat="1">
      <c r="A112" s="97">
        <f t="shared" si="1"/>
        <v>106</v>
      </c>
      <c r="B112" s="98" t="s">
        <v>78</v>
      </c>
      <c r="C112" s="98" t="s">
        <v>81</v>
      </c>
      <c r="D112" s="99">
        <v>48</v>
      </c>
      <c r="E112" s="99" t="s">
        <v>82</v>
      </c>
      <c r="F112" s="100">
        <f>[2]МКД!$H$21</f>
        <v>12</v>
      </c>
      <c r="G112" s="101">
        <f>H112+I112</f>
        <v>91.344200000000001</v>
      </c>
      <c r="H112" s="110">
        <f>57263.48/1000</f>
        <v>57.263480000000001</v>
      </c>
      <c r="I112" s="110">
        <f>34080.72/1000</f>
        <v>34.080719999999999</v>
      </c>
      <c r="J112" s="101">
        <f>K112+L112</f>
        <v>121.02299000000001</v>
      </c>
      <c r="K112" s="110">
        <f>72213.27/1000</f>
        <v>72.213270000000009</v>
      </c>
      <c r="L112" s="110">
        <f>48809.72/1000</f>
        <v>48.809719999999999</v>
      </c>
      <c r="M112" s="101">
        <f>N112+O112</f>
        <v>130.03731999999999</v>
      </c>
      <c r="N112" s="110">
        <f>78837.97/1000</f>
        <v>78.837969999999999</v>
      </c>
      <c r="O112" s="110">
        <f>51199.35/1000</f>
        <v>51.199349999999995</v>
      </c>
      <c r="P112" s="101">
        <f>Q112+R112</f>
        <v>137.126</v>
      </c>
      <c r="Q112" s="127">
        <v>80.263999999999996</v>
      </c>
      <c r="R112" s="127">
        <v>56.862000000000002</v>
      </c>
      <c r="S112" s="48">
        <f>T112+U112</f>
        <v>127.58</v>
      </c>
      <c r="T112" s="48">
        <v>75.63</v>
      </c>
      <c r="U112" s="48">
        <v>51.95</v>
      </c>
      <c r="V112" s="48">
        <f>W112+X112</f>
        <v>134.572</v>
      </c>
      <c r="W112" s="48">
        <v>82.302000000000007</v>
      </c>
      <c r="X112" s="48">
        <v>52.27</v>
      </c>
      <c r="Y112" s="123">
        <f>Z112+AA112</f>
        <v>126.43599999999999</v>
      </c>
      <c r="Z112" s="124">
        <v>81.837999999999994</v>
      </c>
      <c r="AA112" s="124">
        <v>44.597999999999999</v>
      </c>
      <c r="AB112" s="125">
        <f>AC112+AD112</f>
        <v>119.026</v>
      </c>
      <c r="AC112" s="125">
        <v>73.238</v>
      </c>
      <c r="AD112" s="126">
        <v>45.787999999999997</v>
      </c>
      <c r="AE112" s="127">
        <f>AB112/F112</f>
        <v>9.9188333333333336</v>
      </c>
    </row>
    <row r="113" spans="1:31" s="105" customFormat="1">
      <c r="A113" s="97">
        <f t="shared" si="1"/>
        <v>107</v>
      </c>
      <c r="B113" s="98" t="s">
        <v>78</v>
      </c>
      <c r="C113" s="98" t="s">
        <v>76</v>
      </c>
      <c r="D113" s="99">
        <v>8</v>
      </c>
      <c r="E113" s="99" t="s">
        <v>21</v>
      </c>
      <c r="F113" s="100">
        <v>36</v>
      </c>
      <c r="G113" s="109">
        <f>H113+I113</f>
        <v>418.71000000000004</v>
      </c>
      <c r="H113" s="109">
        <v>177.99</v>
      </c>
      <c r="I113" s="120">
        <v>240.72</v>
      </c>
      <c r="J113" s="109">
        <f>K113+L113</f>
        <v>526.14</v>
      </c>
      <c r="K113" s="109">
        <v>211.02</v>
      </c>
      <c r="L113" s="120">
        <v>315.12</v>
      </c>
      <c r="M113" s="109">
        <f>N113+O113</f>
        <v>490.03</v>
      </c>
      <c r="N113" s="109">
        <v>211.46</v>
      </c>
      <c r="O113" s="120">
        <v>278.57</v>
      </c>
      <c r="P113" s="109">
        <f>Q113+R113</f>
        <v>454.3</v>
      </c>
      <c r="Q113" s="109">
        <v>187.11</v>
      </c>
      <c r="R113" s="120">
        <v>267.19</v>
      </c>
      <c r="S113" s="48">
        <f>T113+U113</f>
        <v>381.05</v>
      </c>
      <c r="T113" s="48">
        <v>264</v>
      </c>
      <c r="U113" s="48">
        <v>117.05</v>
      </c>
      <c r="V113" s="48">
        <f>W113+X113</f>
        <v>380.84699999999998</v>
      </c>
      <c r="W113" s="48">
        <v>260.51900000000001</v>
      </c>
      <c r="X113" s="48">
        <v>120.328</v>
      </c>
      <c r="Y113" s="123">
        <f>Z113+AA113</f>
        <v>381.28499999999997</v>
      </c>
      <c r="Z113" s="108">
        <v>272.38099999999997</v>
      </c>
      <c r="AA113" s="108">
        <v>108.904</v>
      </c>
      <c r="AB113" s="125">
        <f>AC113+AD113</f>
        <v>349.81299999999999</v>
      </c>
      <c r="AC113" s="106">
        <v>268.20999999999998</v>
      </c>
      <c r="AD113" s="106">
        <v>81.602999999999994</v>
      </c>
      <c r="AE113" s="127">
        <f>AB113/F113</f>
        <v>9.717027777777778</v>
      </c>
    </row>
    <row r="114" spans="1:31" s="105" customFormat="1">
      <c r="A114" s="97">
        <f t="shared" si="1"/>
        <v>108</v>
      </c>
      <c r="B114" s="98" t="s">
        <v>78</v>
      </c>
      <c r="C114" s="98" t="s">
        <v>19</v>
      </c>
      <c r="D114" s="99">
        <v>43</v>
      </c>
      <c r="E114" s="99"/>
      <c r="F114" s="100">
        <f>[2]МКД!$H$50</f>
        <v>12</v>
      </c>
      <c r="G114" s="101">
        <f>H114+I114</f>
        <v>91.437490000000011</v>
      </c>
      <c r="H114" s="110">
        <f>86432.88/1000</f>
        <v>86.432880000000011</v>
      </c>
      <c r="I114" s="110">
        <f>5004.61/1000</f>
        <v>5.0046099999999996</v>
      </c>
      <c r="J114" s="101">
        <f>K114+L114</f>
        <v>116.52929</v>
      </c>
      <c r="K114" s="110">
        <f>109873.44/1000</f>
        <v>109.87344</v>
      </c>
      <c r="L114" s="110">
        <f>6655.85/1000</f>
        <v>6.65585</v>
      </c>
      <c r="M114" s="101">
        <f>N114+O114</f>
        <v>112.12295</v>
      </c>
      <c r="N114" s="110">
        <f>105477.88/1000</f>
        <v>105.47788</v>
      </c>
      <c r="O114" s="110">
        <f>6645.07/1000</f>
        <v>6.6450699999999996</v>
      </c>
      <c r="P114" s="101">
        <f>Q114+R114</f>
        <v>122.67700000000001</v>
      </c>
      <c r="Q114" s="127">
        <v>117.825</v>
      </c>
      <c r="R114" s="127">
        <v>4.8520000000000003</v>
      </c>
      <c r="S114" s="48">
        <f>T114+U114</f>
        <v>118.8</v>
      </c>
      <c r="T114" s="48">
        <v>113.92</v>
      </c>
      <c r="U114" s="48">
        <v>4.88</v>
      </c>
      <c r="V114" s="48">
        <f>W114+X114</f>
        <v>121.467</v>
      </c>
      <c r="W114" s="48">
        <v>116.267</v>
      </c>
      <c r="X114" s="48">
        <v>5.2</v>
      </c>
      <c r="Y114" s="123">
        <f>Z114+AA114</f>
        <v>126.592</v>
      </c>
      <c r="Z114" s="124">
        <v>121.35</v>
      </c>
      <c r="AA114" s="124">
        <v>5.242</v>
      </c>
      <c r="AB114" s="125">
        <f>AC114+AD114</f>
        <v>111.20399999999999</v>
      </c>
      <c r="AC114" s="106">
        <v>107.44</v>
      </c>
      <c r="AD114" s="106">
        <v>3.7639999999999998</v>
      </c>
      <c r="AE114" s="127">
        <f>AB114/F114</f>
        <v>9.2669999999999995</v>
      </c>
    </row>
    <row r="115" spans="1:31" s="105" customFormat="1">
      <c r="A115" s="97">
        <f t="shared" si="1"/>
        <v>109</v>
      </c>
      <c r="B115" s="98" t="s">
        <v>78</v>
      </c>
      <c r="C115" s="98" t="s">
        <v>37</v>
      </c>
      <c r="D115" s="99">
        <v>30</v>
      </c>
      <c r="E115" s="99"/>
      <c r="F115" s="100">
        <f>[3]МКД!$H$84</f>
        <v>8</v>
      </c>
      <c r="G115" s="101">
        <f>H115+I115</f>
        <v>59.927579999999992</v>
      </c>
      <c r="H115" s="110">
        <f>39371.32/1000</f>
        <v>39.371319999999997</v>
      </c>
      <c r="I115" s="110">
        <f>20556.26/1000</f>
        <v>20.556259999999998</v>
      </c>
      <c r="J115" s="101">
        <f>K115+L115</f>
        <v>62.096919999999997</v>
      </c>
      <c r="K115" s="110">
        <f>38203.76/1000</f>
        <v>38.203760000000003</v>
      </c>
      <c r="L115" s="110">
        <f>23893.16/1000</f>
        <v>23.893159999999998</v>
      </c>
      <c r="M115" s="101">
        <f>N115+O115</f>
        <v>57.10284</v>
      </c>
      <c r="N115" s="110">
        <f>44889.53/1000</f>
        <v>44.889530000000001</v>
      </c>
      <c r="O115" s="110">
        <f>12213.31/1000</f>
        <v>12.21331</v>
      </c>
      <c r="P115" s="101">
        <f>Q115+R115</f>
        <v>19.331999999999997</v>
      </c>
      <c r="Q115" s="127">
        <v>21.620999999999999</v>
      </c>
      <c r="R115" s="127">
        <v>-2.2890000000000001</v>
      </c>
      <c r="S115" s="48">
        <f>T115+U115</f>
        <v>66.759999999999991</v>
      </c>
      <c r="T115" s="48">
        <v>44.91</v>
      </c>
      <c r="U115" s="48">
        <v>21.85</v>
      </c>
      <c r="V115" s="48">
        <f>W115+X115</f>
        <v>72.569999999999993</v>
      </c>
      <c r="W115" s="48">
        <v>44.606000000000002</v>
      </c>
      <c r="X115" s="48">
        <v>27.963999999999999</v>
      </c>
      <c r="Y115" s="123">
        <f>Z115+AA115</f>
        <v>64.830999999999989</v>
      </c>
      <c r="Z115" s="108">
        <v>28.545999999999999</v>
      </c>
      <c r="AA115" s="108">
        <v>36.284999999999997</v>
      </c>
      <c r="AB115" s="125">
        <f>AC115+AD115</f>
        <v>73.592999999999989</v>
      </c>
      <c r="AC115" s="125">
        <v>19.122</v>
      </c>
      <c r="AD115" s="106">
        <v>54.470999999999997</v>
      </c>
      <c r="AE115" s="127">
        <f>AB115/F115</f>
        <v>9.1991249999999987</v>
      </c>
    </row>
    <row r="116" spans="1:31" s="105" customFormat="1">
      <c r="A116" s="97">
        <f t="shared" si="1"/>
        <v>110</v>
      </c>
      <c r="B116" s="98" t="s">
        <v>78</v>
      </c>
      <c r="C116" s="98" t="s">
        <v>90</v>
      </c>
      <c r="D116" s="99">
        <v>35</v>
      </c>
      <c r="E116" s="99"/>
      <c r="F116" s="100">
        <f>[3]МКД!$H$116</f>
        <v>12</v>
      </c>
      <c r="G116" s="101">
        <f>H116+I116</f>
        <v>82.965509999999995</v>
      </c>
      <c r="H116" s="110">
        <f>25802.32/1000</f>
        <v>25.802319999999998</v>
      </c>
      <c r="I116" s="110">
        <f>57163.19/1000</f>
        <v>57.16319</v>
      </c>
      <c r="J116" s="101">
        <f>K116+L116</f>
        <v>90.051079999999985</v>
      </c>
      <c r="K116" s="110">
        <f>38439.63/1000</f>
        <v>38.439629999999994</v>
      </c>
      <c r="L116" s="110">
        <f>51611.45/1000</f>
        <v>51.611449999999998</v>
      </c>
      <c r="M116" s="101">
        <f>N116+O116</f>
        <v>53.838139999999996</v>
      </c>
      <c r="N116" s="110">
        <f>30783.27/1000</f>
        <v>30.783270000000002</v>
      </c>
      <c r="O116" s="110">
        <f>23054.87/1000</f>
        <v>23.054869999999998</v>
      </c>
      <c r="P116" s="101">
        <f>Q116+R116</f>
        <v>71.302999999999997</v>
      </c>
      <c r="Q116" s="127">
        <v>35.915999999999997</v>
      </c>
      <c r="R116" s="127">
        <v>35.387</v>
      </c>
      <c r="S116" s="48">
        <f>T116+U116</f>
        <v>109.11</v>
      </c>
      <c r="T116" s="48">
        <v>30.83</v>
      </c>
      <c r="U116" s="48">
        <v>78.28</v>
      </c>
      <c r="V116" s="48">
        <f>W116+X116</f>
        <v>113.179</v>
      </c>
      <c r="W116" s="48">
        <v>27.960999999999999</v>
      </c>
      <c r="X116" s="48">
        <v>85.218000000000004</v>
      </c>
      <c r="Y116" s="123">
        <f>Z116+AA116</f>
        <v>117.825</v>
      </c>
      <c r="Z116" s="108">
        <v>32.606999999999999</v>
      </c>
      <c r="AA116" s="108">
        <v>85.218000000000004</v>
      </c>
      <c r="AB116" s="125">
        <f>AC116+AD116</f>
        <v>110.11500000000001</v>
      </c>
      <c r="AC116" s="106">
        <v>30.777999999999999</v>
      </c>
      <c r="AD116" s="106">
        <v>79.337000000000003</v>
      </c>
      <c r="AE116" s="127">
        <f>AB116/F116</f>
        <v>9.1762500000000014</v>
      </c>
    </row>
    <row r="117" spans="1:31" s="105" customFormat="1">
      <c r="A117" s="97">
        <f t="shared" si="1"/>
        <v>111</v>
      </c>
      <c r="B117" s="98" t="s">
        <v>78</v>
      </c>
      <c r="C117" s="98" t="s">
        <v>19</v>
      </c>
      <c r="D117" s="99">
        <v>26</v>
      </c>
      <c r="E117" s="99"/>
      <c r="F117" s="100">
        <f>[2]МКД!$H$48</f>
        <v>12</v>
      </c>
      <c r="G117" s="101">
        <f>H117+I117</f>
        <v>175.47638000000001</v>
      </c>
      <c r="H117" s="110">
        <f>83958.92/1000</f>
        <v>83.958919999999992</v>
      </c>
      <c r="I117" s="110">
        <f>91517.46/1000</f>
        <v>91.51746</v>
      </c>
      <c r="J117" s="101">
        <f>K117+L117</f>
        <v>157.08433000000002</v>
      </c>
      <c r="K117" s="110">
        <f>81641.19/1000</f>
        <v>81.641190000000009</v>
      </c>
      <c r="L117" s="110">
        <f>75443.14/1000</f>
        <v>75.44314</v>
      </c>
      <c r="M117" s="101">
        <f>N117+O117</f>
        <v>96.538239999999988</v>
      </c>
      <c r="N117" s="110">
        <f>72475.17/1000</f>
        <v>72.475169999999991</v>
      </c>
      <c r="O117" s="110">
        <f>24063.07/1000</f>
        <v>24.06307</v>
      </c>
      <c r="P117" s="101">
        <f>Q117+R117</f>
        <v>46.347999999999999</v>
      </c>
      <c r="Q117" s="127">
        <v>48.037999999999997</v>
      </c>
      <c r="R117" s="127">
        <v>-1.69</v>
      </c>
      <c r="S117" s="48">
        <f>T117+U117</f>
        <v>113.17</v>
      </c>
      <c r="T117" s="48">
        <v>69.22</v>
      </c>
      <c r="U117" s="48">
        <v>43.95</v>
      </c>
      <c r="V117" s="48">
        <f>W117+X117</f>
        <v>120.176</v>
      </c>
      <c r="W117" s="48">
        <v>68.718000000000004</v>
      </c>
      <c r="X117" s="48">
        <v>51.457999999999998</v>
      </c>
      <c r="Y117" s="123">
        <f>Z117+AA117</f>
        <v>113.54599999999999</v>
      </c>
      <c r="Z117" s="124">
        <v>62.088000000000001</v>
      </c>
      <c r="AA117" s="124">
        <v>51.457999999999998</v>
      </c>
      <c r="AB117" s="125">
        <f>AC117+AD117</f>
        <v>109.22199999999999</v>
      </c>
      <c r="AC117" s="106">
        <v>58.235999999999997</v>
      </c>
      <c r="AD117" s="106">
        <v>50.985999999999997</v>
      </c>
      <c r="AE117" s="127">
        <f>AB117/F117</f>
        <v>9.1018333333333334</v>
      </c>
    </row>
    <row r="118" spans="1:31" s="105" customFormat="1">
      <c r="A118" s="97">
        <f t="shared" si="1"/>
        <v>112</v>
      </c>
      <c r="B118" s="98" t="s">
        <v>78</v>
      </c>
      <c r="C118" s="98" t="s">
        <v>85</v>
      </c>
      <c r="D118" s="99">
        <v>13</v>
      </c>
      <c r="E118" s="99"/>
      <c r="F118" s="100">
        <f>[2]МКД!$H$44</f>
        <v>12</v>
      </c>
      <c r="G118" s="101">
        <f>H118+I118</f>
        <v>192.86394000000001</v>
      </c>
      <c r="H118" s="110">
        <f>83841.03/1000</f>
        <v>83.841030000000003</v>
      </c>
      <c r="I118" s="110">
        <f>109022.91/1000</f>
        <v>109.02291000000001</v>
      </c>
      <c r="J118" s="101">
        <f>K118+L118</f>
        <v>230.02967999999998</v>
      </c>
      <c r="K118" s="110">
        <f>100247.99/1000</f>
        <v>100.24799</v>
      </c>
      <c r="L118" s="110">
        <f>129781.69/1000</f>
        <v>129.78169</v>
      </c>
      <c r="M118" s="101">
        <f>N118+O118</f>
        <v>182.89891999999998</v>
      </c>
      <c r="N118" s="110">
        <f>96243.84/1000</f>
        <v>96.243839999999992</v>
      </c>
      <c r="O118" s="110">
        <f>86655.08/1000</f>
        <v>86.655079999999998</v>
      </c>
      <c r="P118" s="101">
        <f>Q118+R118</f>
        <v>61.096999999999994</v>
      </c>
      <c r="Q118" s="127">
        <v>32.308999999999997</v>
      </c>
      <c r="R118" s="127">
        <v>28.788</v>
      </c>
      <c r="S118" s="48">
        <f>T118+U118</f>
        <v>112.34</v>
      </c>
      <c r="T118" s="48">
        <v>30.51</v>
      </c>
      <c r="U118" s="48">
        <v>81.83</v>
      </c>
      <c r="V118" s="48">
        <f>W118+X118</f>
        <v>118.38</v>
      </c>
      <c r="W118" s="48">
        <v>37.801000000000002</v>
      </c>
      <c r="X118" s="48">
        <v>80.578999999999994</v>
      </c>
      <c r="Y118" s="123">
        <f>Z118+AA118</f>
        <v>122.93099999999998</v>
      </c>
      <c r="Z118" s="124">
        <v>42.351999999999997</v>
      </c>
      <c r="AA118" s="124">
        <v>80.578999999999994</v>
      </c>
      <c r="AB118" s="125">
        <f>AC118+AD118</f>
        <v>108.863</v>
      </c>
      <c r="AC118" s="125">
        <v>27.951000000000001</v>
      </c>
      <c r="AD118" s="106">
        <v>80.912000000000006</v>
      </c>
      <c r="AE118" s="127">
        <f>AB118/F118</f>
        <v>9.0719166666666666</v>
      </c>
    </row>
    <row r="119" spans="1:31" s="105" customFormat="1">
      <c r="A119" s="97">
        <f t="shared" si="1"/>
        <v>113</v>
      </c>
      <c r="B119" s="98" t="s">
        <v>78</v>
      </c>
      <c r="C119" s="98" t="s">
        <v>85</v>
      </c>
      <c r="D119" s="99">
        <v>10</v>
      </c>
      <c r="E119" s="99"/>
      <c r="F119" s="100">
        <f>[2]МКД!$H$41</f>
        <v>12</v>
      </c>
      <c r="G119" s="101">
        <f>H119+I119</f>
        <v>106.61571000000001</v>
      </c>
      <c r="H119" s="110">
        <f>47290.48/1000</f>
        <v>47.290480000000002</v>
      </c>
      <c r="I119" s="110">
        <f>59325.23/1000</f>
        <v>59.325230000000005</v>
      </c>
      <c r="J119" s="101">
        <f>K119+L119</f>
        <v>78.926230000000004</v>
      </c>
      <c r="K119" s="110">
        <f>43002.43/1000</f>
        <v>43.002429999999997</v>
      </c>
      <c r="L119" s="110">
        <f>35923.8/1000</f>
        <v>35.9238</v>
      </c>
      <c r="M119" s="101">
        <f>N119+O119</f>
        <v>86.600549999999998</v>
      </c>
      <c r="N119" s="110">
        <f>63043.93/1000</f>
        <v>63.043930000000003</v>
      </c>
      <c r="O119" s="110">
        <f>23556.62/1000</f>
        <v>23.556619999999999</v>
      </c>
      <c r="P119" s="101">
        <f>Q119+R119</f>
        <v>69.35499999999999</v>
      </c>
      <c r="Q119" s="127">
        <v>33.933999999999997</v>
      </c>
      <c r="R119" s="127">
        <v>35.420999999999999</v>
      </c>
      <c r="S119" s="48">
        <f>T119+U119</f>
        <v>114.71000000000001</v>
      </c>
      <c r="T119" s="48">
        <v>29.48</v>
      </c>
      <c r="U119" s="48">
        <v>85.23</v>
      </c>
      <c r="V119" s="48">
        <f>W119+X119</f>
        <v>96.009</v>
      </c>
      <c r="W119" s="48">
        <v>21.876999999999999</v>
      </c>
      <c r="X119" s="48">
        <v>74.132000000000005</v>
      </c>
      <c r="Y119" s="123">
        <f>Z119+AA119</f>
        <v>99.971000000000004</v>
      </c>
      <c r="Z119" s="124">
        <v>25.838999999999999</v>
      </c>
      <c r="AA119" s="124">
        <v>74.132000000000005</v>
      </c>
      <c r="AB119" s="125">
        <f>AC119+AD119</f>
        <v>108.29499999999999</v>
      </c>
      <c r="AC119" s="125">
        <v>30.222000000000001</v>
      </c>
      <c r="AD119" s="106">
        <v>78.072999999999993</v>
      </c>
      <c r="AE119" s="127">
        <f>AB119/F119</f>
        <v>9.0245833333333323</v>
      </c>
    </row>
    <row r="120" spans="1:31" s="105" customFormat="1">
      <c r="A120" s="97">
        <f t="shared" si="1"/>
        <v>114</v>
      </c>
      <c r="B120" s="98" t="s">
        <v>78</v>
      </c>
      <c r="C120" s="98" t="s">
        <v>81</v>
      </c>
      <c r="D120" s="99">
        <v>7</v>
      </c>
      <c r="E120" s="99" t="s">
        <v>20</v>
      </c>
      <c r="F120" s="100">
        <f>[2]МКД!$H$11</f>
        <v>12</v>
      </c>
      <c r="G120" s="101">
        <f>H120+I120</f>
        <v>112.54133</v>
      </c>
      <c r="H120" s="110">
        <f>37839.32/1000</f>
        <v>37.839320000000001</v>
      </c>
      <c r="I120" s="110">
        <f>74702.01/1000</f>
        <v>74.702010000000001</v>
      </c>
      <c r="J120" s="101">
        <f>K120+L120</f>
        <v>109.78582</v>
      </c>
      <c r="K120" s="110">
        <f>53421.87/1000</f>
        <v>53.421870000000006</v>
      </c>
      <c r="L120" s="110">
        <f>56363.95/1000</f>
        <v>56.363949999999996</v>
      </c>
      <c r="M120" s="101">
        <f>N120+O120</f>
        <v>73.132639999999995</v>
      </c>
      <c r="N120" s="110">
        <f>49918.95/1000</f>
        <v>49.918949999999995</v>
      </c>
      <c r="O120" s="110">
        <f>23213.69/1000</f>
        <v>23.21369</v>
      </c>
      <c r="P120" s="101">
        <f>Q120+R120</f>
        <v>64.623999999999995</v>
      </c>
      <c r="Q120" s="127">
        <v>32.432000000000002</v>
      </c>
      <c r="R120" s="127">
        <v>32.192</v>
      </c>
      <c r="S120" s="48">
        <f>T120+U120</f>
        <v>129.04</v>
      </c>
      <c r="T120" s="48">
        <v>46.71</v>
      </c>
      <c r="U120" s="48">
        <v>82.33</v>
      </c>
      <c r="V120" s="48">
        <f>W120+X120</f>
        <v>127.26500000000001</v>
      </c>
      <c r="W120" s="48">
        <v>35.404000000000003</v>
      </c>
      <c r="X120" s="48">
        <v>91.861000000000004</v>
      </c>
      <c r="Y120" s="123">
        <f>Z120+AA120</f>
        <v>129.02600000000001</v>
      </c>
      <c r="Z120" s="124">
        <v>37.164999999999999</v>
      </c>
      <c r="AA120" s="124">
        <v>91.861000000000004</v>
      </c>
      <c r="AB120" s="125">
        <f>AC120+AD120</f>
        <v>106.953</v>
      </c>
      <c r="AC120" s="125">
        <v>35.741999999999997</v>
      </c>
      <c r="AD120" s="106">
        <v>71.210999999999999</v>
      </c>
      <c r="AE120" s="127">
        <f>AB120/F120</f>
        <v>8.9127500000000008</v>
      </c>
    </row>
    <row r="121" spans="1:31" s="105" customFormat="1">
      <c r="A121" s="97">
        <f t="shared" si="1"/>
        <v>115</v>
      </c>
      <c r="B121" s="98" t="s">
        <v>78</v>
      </c>
      <c r="C121" s="98" t="s">
        <v>97</v>
      </c>
      <c r="D121" s="99">
        <v>34</v>
      </c>
      <c r="E121" s="99" t="s">
        <v>20</v>
      </c>
      <c r="F121" s="100">
        <f>[3]МКД!$H$144</f>
        <v>12</v>
      </c>
      <c r="G121" s="101">
        <f>H121+I121</f>
        <v>82.613919999999993</v>
      </c>
      <c r="H121" s="110">
        <f>31869.08/1000</f>
        <v>31.86908</v>
      </c>
      <c r="I121" s="110">
        <f>50744.84/1000</f>
        <v>50.744839999999996</v>
      </c>
      <c r="J121" s="101">
        <f>K121+L121</f>
        <v>80.570830000000001</v>
      </c>
      <c r="K121" s="110">
        <f>42166.16/1000</f>
        <v>42.166160000000005</v>
      </c>
      <c r="L121" s="110">
        <f>38404.67/1000</f>
        <v>38.404669999999996</v>
      </c>
      <c r="M121" s="101">
        <f>N121+O121</f>
        <v>39.315770000000001</v>
      </c>
      <c r="N121" s="110">
        <f>34535.65/1000</f>
        <v>34.535650000000004</v>
      </c>
      <c r="O121" s="110">
        <f>4780.12/1000</f>
        <v>4.7801200000000001</v>
      </c>
      <c r="P121" s="101">
        <f>Q121+R121</f>
        <v>49.192</v>
      </c>
      <c r="Q121" s="127">
        <v>26.149000000000001</v>
      </c>
      <c r="R121" s="127">
        <v>23.042999999999999</v>
      </c>
      <c r="S121" s="48">
        <f>T121+U121</f>
        <v>92.47999999999999</v>
      </c>
      <c r="T121" s="48">
        <v>24.66</v>
      </c>
      <c r="U121" s="48">
        <v>67.819999999999993</v>
      </c>
      <c r="V121" s="48">
        <f>W121+X121</f>
        <v>94.438999999999993</v>
      </c>
      <c r="W121" s="48">
        <v>22.148</v>
      </c>
      <c r="X121" s="48">
        <v>72.290999999999997</v>
      </c>
      <c r="Y121" s="123">
        <f>Z121+AA121</f>
        <v>97.968999999999994</v>
      </c>
      <c r="Z121" s="108">
        <v>25.678000000000001</v>
      </c>
      <c r="AA121" s="108">
        <v>72.290999999999997</v>
      </c>
      <c r="AB121" s="125">
        <f>AC121+AD121</f>
        <v>104.102</v>
      </c>
      <c r="AC121" s="106">
        <v>15.849</v>
      </c>
      <c r="AD121" s="106">
        <v>88.253</v>
      </c>
      <c r="AE121" s="127">
        <f>AB121/F121</f>
        <v>8.6751666666666676</v>
      </c>
    </row>
    <row r="122" spans="1:31" s="105" customFormat="1">
      <c r="A122" s="97">
        <f t="shared" si="1"/>
        <v>116</v>
      </c>
      <c r="B122" s="98" t="s">
        <v>78</v>
      </c>
      <c r="C122" s="98" t="s">
        <v>37</v>
      </c>
      <c r="D122" s="99">
        <v>29</v>
      </c>
      <c r="E122" s="99"/>
      <c r="F122" s="100">
        <f>[3]МКД!$H$83</f>
        <v>16</v>
      </c>
      <c r="G122" s="101">
        <f>H122+I122</f>
        <v>219.14136000000002</v>
      </c>
      <c r="H122" s="110">
        <f>85296.32/1000</f>
        <v>85.296320000000009</v>
      </c>
      <c r="I122" s="110">
        <f>133845.04/1000</f>
        <v>133.84504000000001</v>
      </c>
      <c r="J122" s="101">
        <f>K122+L122</f>
        <v>214.03341</v>
      </c>
      <c r="K122" s="110">
        <f>89104.96/1000</f>
        <v>89.104960000000005</v>
      </c>
      <c r="L122" s="110">
        <f>124928.45/1000</f>
        <v>124.92845</v>
      </c>
      <c r="M122" s="101">
        <f>N122+O122</f>
        <v>172.12243000000001</v>
      </c>
      <c r="N122" s="110">
        <f>85703.42/1000</f>
        <v>85.703419999999994</v>
      </c>
      <c r="O122" s="110">
        <f>86419.01/1000</f>
        <v>86.41901</v>
      </c>
      <c r="P122" s="101">
        <f>Q122+R122</f>
        <v>197.52499999999998</v>
      </c>
      <c r="Q122" s="127">
        <v>93.210999999999999</v>
      </c>
      <c r="R122" s="127">
        <v>104.31399999999999</v>
      </c>
      <c r="S122" s="48">
        <f>T122+U122</f>
        <v>164.85000000000002</v>
      </c>
      <c r="T122" s="48">
        <v>85.59</v>
      </c>
      <c r="U122" s="48">
        <v>79.260000000000005</v>
      </c>
      <c r="V122" s="48">
        <f>W122+X122</f>
        <v>63.452000000000005</v>
      </c>
      <c r="W122" s="48">
        <v>100.218</v>
      </c>
      <c r="X122" s="48">
        <v>-36.765999999999998</v>
      </c>
      <c r="Y122" s="123">
        <f>Z122+AA122</f>
        <v>123.944</v>
      </c>
      <c r="Z122" s="108">
        <v>112.744</v>
      </c>
      <c r="AA122" s="108">
        <v>11.2</v>
      </c>
      <c r="AB122" s="125">
        <f>AC122+AD122</f>
        <v>138.27700000000002</v>
      </c>
      <c r="AC122" s="106">
        <v>103.373</v>
      </c>
      <c r="AD122" s="106">
        <v>34.904000000000003</v>
      </c>
      <c r="AE122" s="127">
        <f>AB122/F122</f>
        <v>8.642312500000001</v>
      </c>
    </row>
    <row r="123" spans="1:31" s="105" customFormat="1">
      <c r="A123" s="97">
        <f t="shared" si="1"/>
        <v>117</v>
      </c>
      <c r="B123" s="98" t="s">
        <v>78</v>
      </c>
      <c r="C123" s="98" t="s">
        <v>98</v>
      </c>
      <c r="D123" s="99">
        <v>43</v>
      </c>
      <c r="E123" s="99" t="s">
        <v>21</v>
      </c>
      <c r="F123" s="100">
        <f>[3]МКД!$H$156</f>
        <v>12</v>
      </c>
      <c r="G123" s="101">
        <f>H123+I123</f>
        <v>97.291240000000002</v>
      </c>
      <c r="H123" s="110">
        <f>39967.99/1000</f>
        <v>39.96799</v>
      </c>
      <c r="I123" s="110">
        <f>57323.25/1000</f>
        <v>57.323250000000002</v>
      </c>
      <c r="J123" s="101">
        <f>K123+L123</f>
        <v>83.12724</v>
      </c>
      <c r="K123" s="110">
        <f>37847.42/1000</f>
        <v>37.84742</v>
      </c>
      <c r="L123" s="110">
        <f>45279.82/1000</f>
        <v>45.279820000000001</v>
      </c>
      <c r="M123" s="101">
        <f>N123+O123</f>
        <v>53.057949999999998</v>
      </c>
      <c r="N123" s="110">
        <f>41710.1/1000</f>
        <v>41.710099999999997</v>
      </c>
      <c r="O123" s="110">
        <f>11347.85/1000</f>
        <v>11.347850000000001</v>
      </c>
      <c r="P123" s="101">
        <f>Q123+R123</f>
        <v>61.786000000000001</v>
      </c>
      <c r="Q123" s="127">
        <v>34.293999999999997</v>
      </c>
      <c r="R123" s="127">
        <v>27.492000000000001</v>
      </c>
      <c r="S123" s="48">
        <f>T123+U123</f>
        <v>111.61</v>
      </c>
      <c r="T123" s="48">
        <v>34.42</v>
      </c>
      <c r="U123" s="48">
        <v>77.19</v>
      </c>
      <c r="V123" s="48">
        <f>W123+X123</f>
        <v>101.629</v>
      </c>
      <c r="W123" s="48">
        <v>29.614000000000001</v>
      </c>
      <c r="X123" s="48">
        <v>72.015000000000001</v>
      </c>
      <c r="Y123" s="123">
        <f>Z123+AA123</f>
        <v>103.928</v>
      </c>
      <c r="Z123" s="108">
        <v>31.913</v>
      </c>
      <c r="AA123" s="108">
        <v>72.015000000000001</v>
      </c>
      <c r="AB123" s="125">
        <f>AC123+AD123</f>
        <v>102.093</v>
      </c>
      <c r="AC123" s="125">
        <v>29.015000000000001</v>
      </c>
      <c r="AD123" s="106">
        <v>73.078000000000003</v>
      </c>
      <c r="AE123" s="127">
        <f>AB123/F123</f>
        <v>8.5077499999999997</v>
      </c>
    </row>
    <row r="124" spans="1:31" s="105" customFormat="1">
      <c r="A124" s="97">
        <f t="shared" si="1"/>
        <v>118</v>
      </c>
      <c r="B124" s="98" t="s">
        <v>78</v>
      </c>
      <c r="C124" s="98" t="s">
        <v>81</v>
      </c>
      <c r="D124" s="99">
        <v>43</v>
      </c>
      <c r="E124" s="99" t="s">
        <v>20</v>
      </c>
      <c r="F124" s="100">
        <f>[2]МКД!$H$17</f>
        <v>12</v>
      </c>
      <c r="G124" s="101">
        <f>H124+I124</f>
        <v>71.810299999999998</v>
      </c>
      <c r="H124" s="110">
        <f>60352.54/1000</f>
        <v>60.352539999999998</v>
      </c>
      <c r="I124" s="110">
        <f>11457.76/1000</f>
        <v>11.45776</v>
      </c>
      <c r="J124" s="101">
        <f>K124+L124</f>
        <v>87.301389999999998</v>
      </c>
      <c r="K124" s="110">
        <f>66687.63/1000</f>
        <v>66.687629999999999</v>
      </c>
      <c r="L124" s="110">
        <f>20613.76/1000</f>
        <v>20.613759999999999</v>
      </c>
      <c r="M124" s="101">
        <f>N124+O124</f>
        <v>93.28085999999999</v>
      </c>
      <c r="N124" s="110">
        <f>71225.29/1000</f>
        <v>71.225289999999987</v>
      </c>
      <c r="O124" s="110">
        <f>22055.57/1000</f>
        <v>22.055569999999999</v>
      </c>
      <c r="P124" s="101">
        <f>Q124+R124</f>
        <v>99.789999999999992</v>
      </c>
      <c r="Q124" s="127">
        <v>70.852999999999994</v>
      </c>
      <c r="R124" s="127">
        <v>28.937000000000001</v>
      </c>
      <c r="S124" s="48">
        <f>T124+U124</f>
        <v>106.3</v>
      </c>
      <c r="T124" s="48">
        <v>74.11</v>
      </c>
      <c r="U124" s="48">
        <v>32.19</v>
      </c>
      <c r="V124" s="48">
        <f>W124+X124</f>
        <v>109.09</v>
      </c>
      <c r="W124" s="48">
        <v>74.581000000000003</v>
      </c>
      <c r="X124" s="48">
        <v>34.509</v>
      </c>
      <c r="Y124" s="123">
        <f>Z124+AA124</f>
        <v>105.456</v>
      </c>
      <c r="Z124" s="124">
        <v>70.95</v>
      </c>
      <c r="AA124" s="124">
        <v>34.506</v>
      </c>
      <c r="AB124" s="125">
        <f>AC124+AD124</f>
        <v>99.388000000000005</v>
      </c>
      <c r="AC124" s="106">
        <v>65.537000000000006</v>
      </c>
      <c r="AD124" s="106">
        <v>33.850999999999999</v>
      </c>
      <c r="AE124" s="127">
        <f>AB124/F124</f>
        <v>8.2823333333333338</v>
      </c>
    </row>
    <row r="125" spans="1:31" s="105" customFormat="1">
      <c r="A125" s="97">
        <f t="shared" si="1"/>
        <v>119</v>
      </c>
      <c r="B125" s="98" t="s">
        <v>78</v>
      </c>
      <c r="C125" s="98" t="s">
        <v>38</v>
      </c>
      <c r="D125" s="99">
        <v>25</v>
      </c>
      <c r="E125" s="99"/>
      <c r="F125" s="100">
        <f>[3]МКД!$H$99</f>
        <v>12</v>
      </c>
      <c r="G125" s="101">
        <f>H125+I125</f>
        <v>101.69812</v>
      </c>
      <c r="H125" s="110">
        <f>37859.36/1000</f>
        <v>37.859360000000002</v>
      </c>
      <c r="I125" s="110">
        <f>63838.76/1000</f>
        <v>63.838760000000001</v>
      </c>
      <c r="J125" s="101">
        <f>K125+L125</f>
        <v>95.979199999999992</v>
      </c>
      <c r="K125" s="110">
        <f>45015.53/1000</f>
        <v>45.015529999999998</v>
      </c>
      <c r="L125" s="110">
        <f>50963.67/1000</f>
        <v>50.96367</v>
      </c>
      <c r="M125" s="101">
        <f>N125+O125</f>
        <v>67.161090000000002</v>
      </c>
      <c r="N125" s="110">
        <f>47751.46/1000</f>
        <v>47.751460000000002</v>
      </c>
      <c r="O125" s="110">
        <f>19409.63/1000</f>
        <v>19.40963</v>
      </c>
      <c r="P125" s="101">
        <f>Q125+R125</f>
        <v>50.192999999999998</v>
      </c>
      <c r="Q125" s="127">
        <v>24.891999999999999</v>
      </c>
      <c r="R125" s="127">
        <v>25.300999999999998</v>
      </c>
      <c r="S125" s="48">
        <f>T125+U125</f>
        <v>111.21000000000001</v>
      </c>
      <c r="T125" s="48">
        <v>34.4</v>
      </c>
      <c r="U125" s="48">
        <v>76.81</v>
      </c>
      <c r="V125" s="48">
        <f>W125+X125</f>
        <v>102.749</v>
      </c>
      <c r="W125" s="48">
        <v>28.765999999999998</v>
      </c>
      <c r="X125" s="48">
        <v>73.983000000000004</v>
      </c>
      <c r="Y125" s="123">
        <f>Z125+AA125</f>
        <v>108.529</v>
      </c>
      <c r="Z125" s="108">
        <v>29.481000000000002</v>
      </c>
      <c r="AA125" s="108">
        <v>79.048000000000002</v>
      </c>
      <c r="AB125" s="125">
        <f>AC125+AD125</f>
        <v>95.893999999999991</v>
      </c>
      <c r="AC125" s="106">
        <v>24.992999999999999</v>
      </c>
      <c r="AD125" s="106">
        <v>70.900999999999996</v>
      </c>
      <c r="AE125" s="127">
        <f>AB125/F125</f>
        <v>7.9911666666666656</v>
      </c>
    </row>
    <row r="126" spans="1:31" s="105" customFormat="1">
      <c r="A126" s="97">
        <f t="shared" si="1"/>
        <v>120</v>
      </c>
      <c r="B126" s="98" t="s">
        <v>78</v>
      </c>
      <c r="C126" s="98" t="s">
        <v>75</v>
      </c>
      <c r="D126" s="99">
        <v>17</v>
      </c>
      <c r="E126" s="99" t="s">
        <v>21</v>
      </c>
      <c r="F126" s="100">
        <f>[3]МКД!$H$92</f>
        <v>12</v>
      </c>
      <c r="G126" s="101">
        <f>H126+I126</f>
        <v>70.557909999999993</v>
      </c>
      <c r="H126" s="110">
        <f>25987.4/1000</f>
        <v>25.987400000000001</v>
      </c>
      <c r="I126" s="110">
        <f>44570.51/1000</f>
        <v>44.570509999999999</v>
      </c>
      <c r="J126" s="101">
        <f>K126+L126</f>
        <v>80.219339999999988</v>
      </c>
      <c r="K126" s="110">
        <f>30158.25/1000</f>
        <v>30.158249999999999</v>
      </c>
      <c r="L126" s="110">
        <f>50061.09/1000</f>
        <v>50.061089999999993</v>
      </c>
      <c r="M126" s="101">
        <f>N126+O126</f>
        <v>152.42108999999999</v>
      </c>
      <c r="N126" s="110">
        <f>29354.33/1000</f>
        <v>29.354330000000001</v>
      </c>
      <c r="O126" s="110">
        <f>123066.76/1000</f>
        <v>123.06675999999999</v>
      </c>
      <c r="P126" s="101">
        <f>Q126+R126</f>
        <v>32.986000000000004</v>
      </c>
      <c r="Q126" s="127">
        <v>14.409000000000001</v>
      </c>
      <c r="R126" s="127">
        <v>18.577000000000002</v>
      </c>
      <c r="S126" s="48">
        <f>T126+U126</f>
        <v>88</v>
      </c>
      <c r="T126" s="48">
        <v>24.58</v>
      </c>
      <c r="U126" s="48">
        <v>63.42</v>
      </c>
      <c r="V126" s="48">
        <f>W126+X126</f>
        <v>97.902000000000001</v>
      </c>
      <c r="W126" s="48">
        <v>28.407</v>
      </c>
      <c r="X126" s="48">
        <v>69.495000000000005</v>
      </c>
      <c r="Y126" s="123">
        <f>Z126+AA126</f>
        <v>105.59</v>
      </c>
      <c r="Z126" s="108">
        <v>30.684000000000001</v>
      </c>
      <c r="AA126" s="108">
        <v>74.906000000000006</v>
      </c>
      <c r="AB126" s="125">
        <f>AC126+AD126</f>
        <v>94.270999999999987</v>
      </c>
      <c r="AC126" s="125">
        <v>23.923999999999999</v>
      </c>
      <c r="AD126" s="106">
        <v>70.346999999999994</v>
      </c>
      <c r="AE126" s="127">
        <f>AB126/F126</f>
        <v>7.8559166666666655</v>
      </c>
    </row>
    <row r="127" spans="1:31" s="105" customFormat="1">
      <c r="A127" s="97">
        <f t="shared" si="1"/>
        <v>121</v>
      </c>
      <c r="B127" s="98" t="s">
        <v>78</v>
      </c>
      <c r="C127" s="98" t="s">
        <v>90</v>
      </c>
      <c r="D127" s="99">
        <v>20</v>
      </c>
      <c r="E127" s="99"/>
      <c r="F127" s="100">
        <f>[3]МКД!$H$108</f>
        <v>12</v>
      </c>
      <c r="G127" s="101">
        <f>H127+I127</f>
        <v>96.853189999999998</v>
      </c>
      <c r="H127" s="110">
        <f>33798.39/1000</f>
        <v>33.798389999999998</v>
      </c>
      <c r="I127" s="110">
        <f>63054.8/1000</f>
        <v>63.0548</v>
      </c>
      <c r="J127" s="101">
        <f>K127+L127</f>
        <v>99.490700000000004</v>
      </c>
      <c r="K127" s="110">
        <f>41658.69/1000</f>
        <v>41.65869</v>
      </c>
      <c r="L127" s="110">
        <f>57832.01/1000</f>
        <v>57.832010000000004</v>
      </c>
      <c r="M127" s="101">
        <f>N127+O127</f>
        <v>60.822009999999992</v>
      </c>
      <c r="N127" s="110">
        <f>34750.99/1000</f>
        <v>34.750989999999994</v>
      </c>
      <c r="O127" s="110">
        <f>26071.02/1000</f>
        <v>26.071020000000001</v>
      </c>
      <c r="P127" s="101">
        <f>Q127+R127</f>
        <v>76.745000000000005</v>
      </c>
      <c r="Q127" s="127">
        <v>30.530999999999999</v>
      </c>
      <c r="R127" s="127">
        <v>46.213999999999999</v>
      </c>
      <c r="S127" s="48">
        <f>T127+U127</f>
        <v>99.550000000000011</v>
      </c>
      <c r="T127" s="48">
        <v>39.1</v>
      </c>
      <c r="U127" s="48">
        <v>60.45</v>
      </c>
      <c r="V127" s="48">
        <f>W127+X127</f>
        <v>122.96699999999998</v>
      </c>
      <c r="W127" s="48">
        <v>42.720999999999997</v>
      </c>
      <c r="X127" s="48">
        <v>80.245999999999995</v>
      </c>
      <c r="Y127" s="123">
        <f>Z127+AA127</f>
        <v>126.2533</v>
      </c>
      <c r="Z127" s="108">
        <v>49.032299999999999</v>
      </c>
      <c r="AA127" s="108">
        <v>77.221000000000004</v>
      </c>
      <c r="AB127" s="125">
        <f>AC127+AD127</f>
        <v>93.204000000000008</v>
      </c>
      <c r="AC127" s="106">
        <v>34.76</v>
      </c>
      <c r="AD127" s="106">
        <v>58.444000000000003</v>
      </c>
      <c r="AE127" s="127">
        <f>AB127/F127</f>
        <v>7.7670000000000003</v>
      </c>
    </row>
    <row r="128" spans="1:31" s="105" customFormat="1">
      <c r="A128" s="97">
        <f t="shared" si="1"/>
        <v>122</v>
      </c>
      <c r="B128" s="98" t="s">
        <v>78</v>
      </c>
      <c r="C128" s="98" t="s">
        <v>90</v>
      </c>
      <c r="D128" s="99">
        <v>19</v>
      </c>
      <c r="E128" s="99"/>
      <c r="F128" s="100">
        <f>[3]МКД!$H$107</f>
        <v>12</v>
      </c>
      <c r="G128" s="101">
        <f>H128+I128</f>
        <v>71.00712</v>
      </c>
      <c r="H128" s="110">
        <f>28871.57/1000</f>
        <v>28.871569999999998</v>
      </c>
      <c r="I128" s="110">
        <f>42135.55/1000</f>
        <v>42.135550000000002</v>
      </c>
      <c r="J128" s="101">
        <f>K128+L128</f>
        <v>60.56474</v>
      </c>
      <c r="K128" s="110">
        <f>25583.71/1000</f>
        <v>25.58371</v>
      </c>
      <c r="L128" s="110">
        <f>34981.03/1000</f>
        <v>34.981029999999997</v>
      </c>
      <c r="M128" s="101">
        <f>N128+O128</f>
        <v>40.545020000000001</v>
      </c>
      <c r="N128" s="110">
        <f>25007.49/1000</f>
        <v>25.007490000000001</v>
      </c>
      <c r="O128" s="110">
        <f>15537.53/1000</f>
        <v>15.53753</v>
      </c>
      <c r="P128" s="101">
        <f>Q128+R128</f>
        <v>51.261000000000003</v>
      </c>
      <c r="Q128" s="127">
        <v>23.498000000000001</v>
      </c>
      <c r="R128" s="127">
        <v>27.763000000000002</v>
      </c>
      <c r="S128" s="48">
        <f>T128+U128</f>
        <v>87.59</v>
      </c>
      <c r="T128" s="48">
        <v>23.61</v>
      </c>
      <c r="U128" s="48">
        <v>63.98</v>
      </c>
      <c r="V128" s="48">
        <f>W128+X128</f>
        <v>93.268000000000001</v>
      </c>
      <c r="W128" s="48">
        <v>23.655000000000001</v>
      </c>
      <c r="X128" s="48">
        <v>69.613</v>
      </c>
      <c r="Y128" s="123">
        <f>Z128+AA128</f>
        <v>95.123999999999995</v>
      </c>
      <c r="Z128" s="108">
        <v>25.510999999999999</v>
      </c>
      <c r="AA128" s="108">
        <v>69.613</v>
      </c>
      <c r="AB128" s="125">
        <f>AC128+AD128</f>
        <v>92.343000000000004</v>
      </c>
      <c r="AC128" s="125">
        <v>23.957999999999998</v>
      </c>
      <c r="AD128" s="106">
        <v>68.385000000000005</v>
      </c>
      <c r="AE128" s="127">
        <f>AB128/F128</f>
        <v>7.6952500000000006</v>
      </c>
    </row>
    <row r="129" spans="1:31" s="105" customFormat="1">
      <c r="A129" s="97">
        <f t="shared" si="1"/>
        <v>123</v>
      </c>
      <c r="B129" s="98" t="s">
        <v>78</v>
      </c>
      <c r="C129" s="98" t="s">
        <v>85</v>
      </c>
      <c r="D129" s="99">
        <v>12</v>
      </c>
      <c r="E129" s="99"/>
      <c r="F129" s="100">
        <f>[2]МКД!$H$42</f>
        <v>12</v>
      </c>
      <c r="G129" s="101">
        <f>H129+I129</f>
        <v>77.224150000000009</v>
      </c>
      <c r="H129" s="110">
        <f>33249/1000</f>
        <v>33.249000000000002</v>
      </c>
      <c r="I129" s="110">
        <f>43975.15/1000</f>
        <v>43.975149999999999</v>
      </c>
      <c r="J129" s="101">
        <f>K129+L129</f>
        <v>60.557729999999999</v>
      </c>
      <c r="K129" s="110">
        <f>29606.31/1000</f>
        <v>29.606310000000001</v>
      </c>
      <c r="L129" s="110">
        <f>30951.42/1000</f>
        <v>30.951419999999999</v>
      </c>
      <c r="M129" s="101">
        <f>N129+O129</f>
        <v>33.971090000000004</v>
      </c>
      <c r="N129" s="110">
        <f>29426.71/1000</f>
        <v>29.42671</v>
      </c>
      <c r="O129" s="110">
        <f>4544.38/1000</f>
        <v>4.5443800000000003</v>
      </c>
      <c r="P129" s="101">
        <f>Q129+R129</f>
        <v>32.277000000000001</v>
      </c>
      <c r="Q129" s="127">
        <v>16.370999999999999</v>
      </c>
      <c r="R129" s="127">
        <v>15.906000000000001</v>
      </c>
      <c r="S129" s="48">
        <f>T129+U129</f>
        <v>79.88</v>
      </c>
      <c r="T129" s="48">
        <v>22.44</v>
      </c>
      <c r="U129" s="48">
        <v>57.44</v>
      </c>
      <c r="V129" s="48">
        <f>W129+X129</f>
        <v>88.123999999999995</v>
      </c>
      <c r="W129" s="48">
        <v>23.295999999999999</v>
      </c>
      <c r="X129" s="48">
        <v>64.828000000000003</v>
      </c>
      <c r="Y129" s="123">
        <f>Z129+AA129</f>
        <v>88.701000000000008</v>
      </c>
      <c r="Z129" s="124">
        <v>23.873000000000001</v>
      </c>
      <c r="AA129" s="124">
        <v>64.828000000000003</v>
      </c>
      <c r="AB129" s="125">
        <f>AC129+AD129</f>
        <v>91.685999999999993</v>
      </c>
      <c r="AC129" s="125">
        <v>24.672000000000001</v>
      </c>
      <c r="AD129" s="106">
        <v>67.013999999999996</v>
      </c>
      <c r="AE129" s="127">
        <f>AB129/F129</f>
        <v>7.6404999999999994</v>
      </c>
    </row>
    <row r="130" spans="1:31" s="105" customFormat="1">
      <c r="A130" s="97">
        <f t="shared" si="1"/>
        <v>124</v>
      </c>
      <c r="B130" s="98" t="s">
        <v>78</v>
      </c>
      <c r="C130" s="98" t="s">
        <v>98</v>
      </c>
      <c r="D130" s="99">
        <v>39</v>
      </c>
      <c r="E130" s="99" t="s">
        <v>20</v>
      </c>
      <c r="F130" s="100">
        <f>[3]МКД!$H$153</f>
        <v>16</v>
      </c>
      <c r="G130" s="101">
        <f>H130+I130</f>
        <v>130.63346999999999</v>
      </c>
      <c r="H130" s="110">
        <f>59020.39/1000</f>
        <v>59.020389999999999</v>
      </c>
      <c r="I130" s="110">
        <f>71613.08/1000</f>
        <v>71.613079999999997</v>
      </c>
      <c r="J130" s="101">
        <f>K130+L130</f>
        <v>92.56917</v>
      </c>
      <c r="K130" s="110">
        <f>50325.78/1000</f>
        <v>50.325780000000002</v>
      </c>
      <c r="L130" s="110">
        <f>42243.39/1000</f>
        <v>42.243389999999998</v>
      </c>
      <c r="M130" s="101">
        <f>N130+O130</f>
        <v>86.216319999999996</v>
      </c>
      <c r="N130" s="110">
        <f>56749.68/1000</f>
        <v>56.749679999999998</v>
      </c>
      <c r="O130" s="110">
        <f>29466.64/1000</f>
        <v>29.466639999999998</v>
      </c>
      <c r="P130" s="101">
        <f>Q130+R130</f>
        <v>50.426000000000002</v>
      </c>
      <c r="Q130" s="127">
        <v>21.042999999999999</v>
      </c>
      <c r="R130" s="127">
        <v>29.382999999999999</v>
      </c>
      <c r="S130" s="48">
        <f>T130+U130</f>
        <v>87.98</v>
      </c>
      <c r="T130" s="48">
        <v>25.48</v>
      </c>
      <c r="U130" s="48">
        <v>62.5</v>
      </c>
      <c r="V130" s="48">
        <f>W130+X130</f>
        <v>99.674000000000007</v>
      </c>
      <c r="W130" s="48">
        <v>15.622999999999999</v>
      </c>
      <c r="X130" s="48">
        <v>84.051000000000002</v>
      </c>
      <c r="Y130" s="123">
        <f>Z130+AA130</f>
        <v>90.89</v>
      </c>
      <c r="Z130" s="108">
        <v>6.7169999999999996</v>
      </c>
      <c r="AA130" s="108">
        <v>84.173000000000002</v>
      </c>
      <c r="AB130" s="125">
        <f>AC130+AD130</f>
        <v>117.871</v>
      </c>
      <c r="AC130" s="106">
        <v>4.4660000000000002</v>
      </c>
      <c r="AD130" s="106">
        <v>113.405</v>
      </c>
      <c r="AE130" s="127">
        <f>AB130/F130</f>
        <v>7.3669374999999997</v>
      </c>
    </row>
    <row r="131" spans="1:31" s="105" customFormat="1">
      <c r="A131" s="97">
        <f t="shared" si="1"/>
        <v>125</v>
      </c>
      <c r="B131" s="98" t="s">
        <v>78</v>
      </c>
      <c r="C131" s="98" t="s">
        <v>19</v>
      </c>
      <c r="D131" s="99">
        <v>55</v>
      </c>
      <c r="E131" s="99"/>
      <c r="F131" s="100">
        <f>[2]МКД!$H$60</f>
        <v>12</v>
      </c>
      <c r="G131" s="101">
        <f>H131+I131</f>
        <v>117.11</v>
      </c>
      <c r="H131" s="110">
        <f>50.32+54.96</f>
        <v>105.28</v>
      </c>
      <c r="I131" s="110">
        <f>1.9+9.93</f>
        <v>11.83</v>
      </c>
      <c r="J131" s="101">
        <f>K131+L131</f>
        <v>138.22</v>
      </c>
      <c r="K131" s="110">
        <f>50.32+73.96</f>
        <v>124.28</v>
      </c>
      <c r="L131" s="110">
        <f>2.58+11.36</f>
        <v>13.94</v>
      </c>
      <c r="M131" s="101">
        <f>N131+O131</f>
        <v>129.28</v>
      </c>
      <c r="N131" s="110">
        <f>50.32+66.49</f>
        <v>116.81</v>
      </c>
      <c r="O131" s="110">
        <f>2.58+9.89</f>
        <v>12.47</v>
      </c>
      <c r="P131" s="101">
        <f>Q131+R131</f>
        <v>100.00800000000001</v>
      </c>
      <c r="Q131" s="128">
        <f>44.886+50.45</f>
        <v>95.336000000000013</v>
      </c>
      <c r="R131" s="128">
        <f>-2.848+7.52</f>
        <v>4.6719999999999997</v>
      </c>
      <c r="S131" s="48">
        <f>T131+U131</f>
        <v>75.239999999999995</v>
      </c>
      <c r="T131" s="48">
        <v>72.88</v>
      </c>
      <c r="U131" s="48">
        <v>2.36</v>
      </c>
      <c r="V131" s="48">
        <f>W131+X131</f>
        <v>86.287999999999997</v>
      </c>
      <c r="W131" s="48">
        <v>82.908000000000001</v>
      </c>
      <c r="X131" s="48">
        <v>3.38</v>
      </c>
      <c r="Y131" s="123">
        <f>Z131+AA131</f>
        <v>80.753999999999991</v>
      </c>
      <c r="Z131" s="124">
        <v>77.376999999999995</v>
      </c>
      <c r="AA131" s="124">
        <v>3.3769999999999998</v>
      </c>
      <c r="AB131" s="125">
        <f>AC131+AD131</f>
        <v>87.228999999999999</v>
      </c>
      <c r="AC131" s="106">
        <v>84.83</v>
      </c>
      <c r="AD131" s="106">
        <v>2.399</v>
      </c>
      <c r="AE131" s="127">
        <f>AB131/F131</f>
        <v>7.2690833333333336</v>
      </c>
    </row>
    <row r="132" spans="1:31" s="105" customFormat="1">
      <c r="A132" s="97">
        <f t="shared" si="1"/>
        <v>126</v>
      </c>
      <c r="B132" s="98" t="s">
        <v>78</v>
      </c>
      <c r="C132" s="98" t="s">
        <v>81</v>
      </c>
      <c r="D132" s="99">
        <v>5</v>
      </c>
      <c r="E132" s="99"/>
      <c r="F132" s="107">
        <f>[1]МКД!$H$230</f>
        <v>15</v>
      </c>
      <c r="G132" s="101">
        <f>H132+I132</f>
        <v>0</v>
      </c>
      <c r="H132" s="110">
        <v>0</v>
      </c>
      <c r="I132" s="110"/>
      <c r="J132" s="101">
        <f>K132+L132</f>
        <v>132.68709000000001</v>
      </c>
      <c r="K132" s="110">
        <f>90259.55/1000</f>
        <v>90.259550000000004</v>
      </c>
      <c r="L132" s="110">
        <f>42427.54/1000</f>
        <v>42.42754</v>
      </c>
      <c r="M132" s="101">
        <f>N132+O132</f>
        <v>100.16810000000001</v>
      </c>
      <c r="N132" s="110">
        <f>75390.36/1000</f>
        <v>75.390360000000001</v>
      </c>
      <c r="O132" s="110">
        <f>24777.74/1000</f>
        <v>24.777740000000001</v>
      </c>
      <c r="P132" s="101">
        <f>Q132+R132</f>
        <v>119.678</v>
      </c>
      <c r="Q132" s="127">
        <v>89.153000000000006</v>
      </c>
      <c r="R132" s="127">
        <v>30.524999999999999</v>
      </c>
      <c r="S132" s="48">
        <f>T132+U132</f>
        <v>134.88</v>
      </c>
      <c r="T132" s="48">
        <v>84.34</v>
      </c>
      <c r="U132" s="48">
        <v>50.54</v>
      </c>
      <c r="V132" s="48">
        <f>W132+X132</f>
        <v>101.273</v>
      </c>
      <c r="W132" s="48">
        <v>56.674999999999997</v>
      </c>
      <c r="X132" s="48">
        <v>44.597999999999999</v>
      </c>
      <c r="Y132" s="123">
        <f>Z132+AA132</f>
        <v>97.086999999999989</v>
      </c>
      <c r="Z132" s="124">
        <v>55.052</v>
      </c>
      <c r="AA132" s="124">
        <v>42.034999999999997</v>
      </c>
      <c r="AB132" s="125">
        <f>AC132+AD132</f>
        <v>107.37</v>
      </c>
      <c r="AC132" s="125">
        <v>55.281999999999996</v>
      </c>
      <c r="AD132" s="106">
        <v>52.088000000000001</v>
      </c>
      <c r="AE132" s="127">
        <f>AB132/F132</f>
        <v>7.1580000000000004</v>
      </c>
    </row>
    <row r="133" spans="1:31" s="105" customFormat="1">
      <c r="A133" s="97">
        <f t="shared" si="1"/>
        <v>127</v>
      </c>
      <c r="B133" s="98" t="s">
        <v>78</v>
      </c>
      <c r="C133" s="98" t="s">
        <v>38</v>
      </c>
      <c r="D133" s="99">
        <v>26</v>
      </c>
      <c r="E133" s="99"/>
      <c r="F133" s="100">
        <f>[3]МКД!$H$100</f>
        <v>12</v>
      </c>
      <c r="G133" s="101">
        <f>H133+I133</f>
        <v>134.16582</v>
      </c>
      <c r="H133" s="110">
        <f>116102.25/1000</f>
        <v>116.10225</v>
      </c>
      <c r="I133" s="110">
        <f>18063.57/1000</f>
        <v>18.063569999999999</v>
      </c>
      <c r="J133" s="101">
        <f>K133+L133</f>
        <v>177.14823999999999</v>
      </c>
      <c r="K133" s="110">
        <f>149468.21/1000</f>
        <v>149.46821</v>
      </c>
      <c r="L133" s="110">
        <f>27680.03/1000</f>
        <v>27.680029999999999</v>
      </c>
      <c r="M133" s="101">
        <f>N133+O133</f>
        <v>182.79556000000002</v>
      </c>
      <c r="N133" s="110">
        <f>156132.66/1000</f>
        <v>156.13266000000002</v>
      </c>
      <c r="O133" s="110">
        <f>26662.9/1000</f>
        <v>26.6629</v>
      </c>
      <c r="P133" s="101">
        <f>Q133+R133</f>
        <v>210.489</v>
      </c>
      <c r="Q133" s="127">
        <v>104.809</v>
      </c>
      <c r="R133" s="127">
        <v>105.68</v>
      </c>
      <c r="S133" s="48">
        <f>T133+U133</f>
        <v>193.57</v>
      </c>
      <c r="T133" s="48">
        <v>167.53</v>
      </c>
      <c r="U133" s="48">
        <v>26.04</v>
      </c>
      <c r="V133" s="48">
        <f>W133+X133</f>
        <v>195.93700000000001</v>
      </c>
      <c r="W133" s="48">
        <v>168.393</v>
      </c>
      <c r="X133" s="48">
        <v>27.544</v>
      </c>
      <c r="Y133" s="123">
        <f>Z133+AA133</f>
        <v>209.208</v>
      </c>
      <c r="Z133" s="108">
        <v>181.357</v>
      </c>
      <c r="AA133" s="108">
        <v>27.850999999999999</v>
      </c>
      <c r="AB133" s="125">
        <f>AC133+AD133</f>
        <v>84.548000000000002</v>
      </c>
      <c r="AC133" s="106">
        <v>76.527000000000001</v>
      </c>
      <c r="AD133" s="106">
        <v>8.0210000000000008</v>
      </c>
      <c r="AE133" s="127">
        <f>AB133/F133</f>
        <v>7.0456666666666665</v>
      </c>
    </row>
    <row r="134" spans="1:31" s="105" customFormat="1">
      <c r="A134" s="97">
        <f t="shared" si="1"/>
        <v>128</v>
      </c>
      <c r="B134" s="98" t="s">
        <v>78</v>
      </c>
      <c r="C134" s="98" t="s">
        <v>98</v>
      </c>
      <c r="D134" s="99">
        <v>35</v>
      </c>
      <c r="E134" s="99"/>
      <c r="F134" s="100">
        <f>[3]МКД!$H$150</f>
        <v>12</v>
      </c>
      <c r="G134" s="101">
        <f>H134+I134</f>
        <v>112.10434000000001</v>
      </c>
      <c r="H134" s="110">
        <f>48315.61/1000</f>
        <v>48.31561</v>
      </c>
      <c r="I134" s="110">
        <f>63788.73/1000</f>
        <v>63.788730000000001</v>
      </c>
      <c r="J134" s="101">
        <f>K134+L134</f>
        <v>73.193399999999997</v>
      </c>
      <c r="K134" s="110">
        <f>38834.99/1000</f>
        <v>38.834989999999998</v>
      </c>
      <c r="L134" s="110">
        <f>34358.41/1000</f>
        <v>34.358410000000006</v>
      </c>
      <c r="M134" s="101">
        <f>N134+O134</f>
        <v>67.86148</v>
      </c>
      <c r="N134" s="110">
        <f>49222.03/1000</f>
        <v>49.222029999999997</v>
      </c>
      <c r="O134" s="110">
        <f>18639.45/1000</f>
        <v>18.63945</v>
      </c>
      <c r="P134" s="101">
        <f>Q134+R134</f>
        <v>31.167999999999999</v>
      </c>
      <c r="Q134" s="127">
        <v>12.696</v>
      </c>
      <c r="R134" s="127">
        <v>18.472000000000001</v>
      </c>
      <c r="S134" s="48">
        <f>T134+U134</f>
        <v>94.149999999999991</v>
      </c>
      <c r="T134" s="48">
        <v>26.27</v>
      </c>
      <c r="U134" s="48">
        <v>67.88</v>
      </c>
      <c r="V134" s="48">
        <f>W134+X134</f>
        <v>105.119</v>
      </c>
      <c r="W134" s="48">
        <v>28.451000000000001</v>
      </c>
      <c r="X134" s="48">
        <v>76.668000000000006</v>
      </c>
      <c r="Y134" s="123">
        <f>Z134+AA134</f>
        <v>107.527</v>
      </c>
      <c r="Z134" s="108">
        <v>23.478999999999999</v>
      </c>
      <c r="AA134" s="108">
        <v>84.048000000000002</v>
      </c>
      <c r="AB134" s="125">
        <f>AC134+AD134</f>
        <v>83.89</v>
      </c>
      <c r="AC134" s="106">
        <v>23.896999999999998</v>
      </c>
      <c r="AD134" s="106">
        <v>59.993000000000002</v>
      </c>
      <c r="AE134" s="127">
        <f>AB134/F134</f>
        <v>6.9908333333333337</v>
      </c>
    </row>
    <row r="135" spans="1:31" s="105" customFormat="1">
      <c r="A135" s="97">
        <f t="shared" si="1"/>
        <v>129</v>
      </c>
      <c r="B135" s="98" t="s">
        <v>78</v>
      </c>
      <c r="C135" s="98" t="s">
        <v>97</v>
      </c>
      <c r="D135" s="99">
        <v>36</v>
      </c>
      <c r="E135" s="99" t="s">
        <v>20</v>
      </c>
      <c r="F135" s="100">
        <f>[3]МКД!$H$145</f>
        <v>12</v>
      </c>
      <c r="G135" s="101">
        <f>H135+I135</f>
        <v>35.705129999999997</v>
      </c>
      <c r="H135" s="110">
        <f>34625.36/1000</f>
        <v>34.625360000000001</v>
      </c>
      <c r="I135" s="110">
        <f>1079.77/1000</f>
        <v>1.0797699999999999</v>
      </c>
      <c r="J135" s="101">
        <f>K135+L135</f>
        <v>55.792569999999998</v>
      </c>
      <c r="K135" s="110">
        <f>53594.5/1000</f>
        <v>53.594499999999996</v>
      </c>
      <c r="L135" s="110">
        <f>2198.07/1000</f>
        <v>2.19807</v>
      </c>
      <c r="M135" s="101">
        <f>N135+O135</f>
        <v>57.463690000000007</v>
      </c>
      <c r="N135" s="110">
        <f>55400.94/1000</f>
        <v>55.400940000000006</v>
      </c>
      <c r="O135" s="110">
        <f>2062.75/1000</f>
        <v>2.0627499999999999</v>
      </c>
      <c r="P135" s="101">
        <f>Q135+R135</f>
        <v>62.085999999999999</v>
      </c>
      <c r="Q135" s="127">
        <v>54.491</v>
      </c>
      <c r="R135" s="127">
        <v>7.5949999999999998</v>
      </c>
      <c r="S135" s="48">
        <f>T135+U135</f>
        <v>79.95</v>
      </c>
      <c r="T135" s="48">
        <v>77.23</v>
      </c>
      <c r="U135" s="48">
        <v>2.72</v>
      </c>
      <c r="V135" s="48">
        <f>W135+X135</f>
        <v>83.694000000000003</v>
      </c>
      <c r="W135" s="48">
        <v>81.016000000000005</v>
      </c>
      <c r="X135" s="48">
        <v>2.6779999999999999</v>
      </c>
      <c r="Y135" s="123">
        <f>Z135+AA135</f>
        <v>65.792000000000002</v>
      </c>
      <c r="Z135" s="108">
        <v>63.125</v>
      </c>
      <c r="AA135" s="108">
        <v>2.6669999999999998</v>
      </c>
      <c r="AB135" s="125">
        <f>AC135+AD135</f>
        <v>80.686999999999998</v>
      </c>
      <c r="AC135" s="106">
        <v>79.168999999999997</v>
      </c>
      <c r="AD135" s="106">
        <v>1.518</v>
      </c>
      <c r="AE135" s="127">
        <f>AB135/F135</f>
        <v>6.7239166666666668</v>
      </c>
    </row>
    <row r="136" spans="1:31" s="105" customFormat="1">
      <c r="A136" s="97">
        <f t="shared" si="1"/>
        <v>130</v>
      </c>
      <c r="B136" s="98" t="s">
        <v>78</v>
      </c>
      <c r="C136" s="98" t="s">
        <v>99</v>
      </c>
      <c r="D136" s="99">
        <v>1</v>
      </c>
      <c r="E136" s="99" t="s">
        <v>20</v>
      </c>
      <c r="F136" s="100">
        <f>[3]МКД!$H$160</f>
        <v>8</v>
      </c>
      <c r="G136" s="101">
        <f>H136+I136</f>
        <v>68.244789999999995</v>
      </c>
      <c r="H136" s="110">
        <f>30151.28/1000</f>
        <v>30.15128</v>
      </c>
      <c r="I136" s="110">
        <f>38093.51/1000</f>
        <v>38.093510000000002</v>
      </c>
      <c r="J136" s="101">
        <f>K136+L136</f>
        <v>93.157600000000002</v>
      </c>
      <c r="K136" s="110">
        <f>44453.38/1000</f>
        <v>44.453379999999996</v>
      </c>
      <c r="L136" s="110">
        <f>48704.22/1000</f>
        <v>48.704219999999999</v>
      </c>
      <c r="M136" s="101">
        <f>N136+O136</f>
        <v>70.231909999999999</v>
      </c>
      <c r="N136" s="110">
        <f>43864.91/1000</f>
        <v>43.864910000000002</v>
      </c>
      <c r="O136" s="110">
        <f>26367/1000</f>
        <v>26.367000000000001</v>
      </c>
      <c r="P136" s="101">
        <f>Q136+R136</f>
        <v>65.206999999999994</v>
      </c>
      <c r="Q136" s="127">
        <v>28.158000000000001</v>
      </c>
      <c r="R136" s="127">
        <v>37.048999999999999</v>
      </c>
      <c r="S136" s="48">
        <f>T136+U136</f>
        <v>91.16</v>
      </c>
      <c r="T136" s="48">
        <v>27.59</v>
      </c>
      <c r="U136" s="48">
        <v>63.57</v>
      </c>
      <c r="V136" s="48">
        <f>W136+X136</f>
        <v>89.545999999999992</v>
      </c>
      <c r="W136" s="48">
        <v>22.998999999999999</v>
      </c>
      <c r="X136" s="48">
        <v>66.546999999999997</v>
      </c>
      <c r="Y136" s="123">
        <f>Z136+AA136</f>
        <v>91.870999999999995</v>
      </c>
      <c r="Z136" s="108">
        <v>25.324000000000002</v>
      </c>
      <c r="AA136" s="108">
        <v>66.546999999999997</v>
      </c>
      <c r="AB136" s="125">
        <f>AC136+AD136</f>
        <v>52.694000000000003</v>
      </c>
      <c r="AC136" s="106">
        <v>8.67</v>
      </c>
      <c r="AD136" s="106">
        <v>44.024000000000001</v>
      </c>
      <c r="AE136" s="127">
        <f>AB136/F136</f>
        <v>6.5867500000000003</v>
      </c>
    </row>
    <row r="137" spans="1:31" s="105" customFormat="1">
      <c r="A137" s="97">
        <f t="shared" si="1"/>
        <v>131</v>
      </c>
      <c r="B137" s="98" t="s">
        <v>78</v>
      </c>
      <c r="C137" s="98" t="s">
        <v>75</v>
      </c>
      <c r="D137" s="99">
        <v>15</v>
      </c>
      <c r="E137" s="99"/>
      <c r="F137" s="100">
        <f>[3]МКД!$H$91</f>
        <v>12</v>
      </c>
      <c r="G137" s="101">
        <f>H137+I137</f>
        <v>74.868090000000009</v>
      </c>
      <c r="H137" s="110">
        <f>25619.68/1000</f>
        <v>25.619679999999999</v>
      </c>
      <c r="I137" s="110">
        <f>49248.41/1000</f>
        <v>49.248410000000007</v>
      </c>
      <c r="J137" s="101">
        <f>K137+L137</f>
        <v>88.581450000000004</v>
      </c>
      <c r="K137" s="110">
        <f>29078.13/1000</f>
        <v>29.078130000000002</v>
      </c>
      <c r="L137" s="110">
        <f>59503.32/1000</f>
        <v>59.503320000000002</v>
      </c>
      <c r="M137" s="101">
        <f>N137+O137</f>
        <v>51.258749999999999</v>
      </c>
      <c r="N137" s="110">
        <f>29046.52/1000</f>
        <v>29.046520000000001</v>
      </c>
      <c r="O137" s="110">
        <f>22212.23/1000</f>
        <v>22.212229999999998</v>
      </c>
      <c r="P137" s="101">
        <f>Q137+R137</f>
        <v>61.790999999999997</v>
      </c>
      <c r="Q137" s="127">
        <v>32.789000000000001</v>
      </c>
      <c r="R137" s="127">
        <v>29.001999999999999</v>
      </c>
      <c r="S137" s="48">
        <f>T137+U137</f>
        <v>98.5</v>
      </c>
      <c r="T137" s="48">
        <v>26.63</v>
      </c>
      <c r="U137" s="48">
        <v>71.87</v>
      </c>
      <c r="V137" s="48">
        <f>W137+X137</f>
        <v>93.808999999999997</v>
      </c>
      <c r="W137" s="48">
        <v>26.614999999999998</v>
      </c>
      <c r="X137" s="48">
        <v>67.194000000000003</v>
      </c>
      <c r="Y137" s="123">
        <f>Z137+AA137</f>
        <v>92.244</v>
      </c>
      <c r="Z137" s="108">
        <v>26.63</v>
      </c>
      <c r="AA137" s="108">
        <v>65.614000000000004</v>
      </c>
      <c r="AB137" s="125">
        <f>AC137+AD137</f>
        <v>71.438999999999993</v>
      </c>
      <c r="AC137" s="106">
        <v>18.103000000000002</v>
      </c>
      <c r="AD137" s="106">
        <v>53.335999999999999</v>
      </c>
      <c r="AE137" s="127">
        <f>AB137/F137</f>
        <v>5.9532499999999997</v>
      </c>
    </row>
    <row r="138" spans="1:31" s="105" customFormat="1">
      <c r="A138" s="97">
        <f t="shared" si="1"/>
        <v>132</v>
      </c>
      <c r="B138" s="98" t="s">
        <v>78</v>
      </c>
      <c r="C138" s="98" t="s">
        <v>94</v>
      </c>
      <c r="D138" s="99">
        <v>8</v>
      </c>
      <c r="E138" s="99" t="s">
        <v>20</v>
      </c>
      <c r="F138" s="100">
        <f>[3]МКД!$H$137</f>
        <v>11</v>
      </c>
      <c r="G138" s="101">
        <f>H138+I138</f>
        <v>59.264789999999998</v>
      </c>
      <c r="H138" s="110">
        <f>52199.6/1000</f>
        <v>52.199599999999997</v>
      </c>
      <c r="I138" s="110">
        <f>7065.19/1000</f>
        <v>7.0651899999999994</v>
      </c>
      <c r="J138" s="101">
        <f>K138+L138</f>
        <v>52.830269999999999</v>
      </c>
      <c r="K138" s="110">
        <f>46175.52/1000</f>
        <v>46.175519999999999</v>
      </c>
      <c r="L138" s="110">
        <f>6654.75/1000</f>
        <v>6.6547499999999999</v>
      </c>
      <c r="M138" s="101">
        <f>N138+O138</f>
        <v>61.373280000000001</v>
      </c>
      <c r="N138" s="110">
        <f>53583.23/1000</f>
        <v>53.58323</v>
      </c>
      <c r="O138" s="110">
        <f>7790.05/1000</f>
        <v>7.7900499999999999</v>
      </c>
      <c r="P138" s="101">
        <f>Q138+R138</f>
        <v>39.609000000000002</v>
      </c>
      <c r="Q138" s="127">
        <v>25.164999999999999</v>
      </c>
      <c r="R138" s="127">
        <v>14.444000000000001</v>
      </c>
      <c r="S138" s="48">
        <f>T138+U138</f>
        <v>58.77</v>
      </c>
      <c r="T138" s="48">
        <v>58.77</v>
      </c>
      <c r="U138" s="48">
        <v>0</v>
      </c>
      <c r="V138" s="48">
        <f>W138+X138</f>
        <v>61.003999999999998</v>
      </c>
      <c r="W138" s="48">
        <v>60.680999999999997</v>
      </c>
      <c r="X138" s="48">
        <v>0.32300000000000001</v>
      </c>
      <c r="Y138" s="123">
        <f>Z138+AA138</f>
        <v>57.616</v>
      </c>
      <c r="Z138" s="108">
        <v>52.765999999999998</v>
      </c>
      <c r="AA138" s="108">
        <v>4.8499999999999996</v>
      </c>
      <c r="AB138" s="125">
        <f>AC138+AD138</f>
        <v>64.313000000000002</v>
      </c>
      <c r="AC138" s="106">
        <v>59.912999999999997</v>
      </c>
      <c r="AD138" s="106">
        <v>4.4000000000000004</v>
      </c>
      <c r="AE138" s="127">
        <f>AB138/F138</f>
        <v>5.8466363636363639</v>
      </c>
    </row>
    <row r="139" spans="1:31" s="105" customFormat="1">
      <c r="A139" s="97">
        <f t="shared" ref="A139:A172" si="2">A138+1</f>
        <v>133</v>
      </c>
      <c r="B139" s="98" t="s">
        <v>78</v>
      </c>
      <c r="C139" s="98" t="s">
        <v>83</v>
      </c>
      <c r="D139" s="99">
        <v>4</v>
      </c>
      <c r="E139" s="99"/>
      <c r="F139" s="100">
        <f>[1]МКД!$H$370</f>
        <v>12</v>
      </c>
      <c r="G139" s="101">
        <f>H139+I139</f>
        <v>71.119830000000007</v>
      </c>
      <c r="H139" s="110">
        <f>71119.83/1000</f>
        <v>71.119830000000007</v>
      </c>
      <c r="I139" s="110">
        <v>0</v>
      </c>
      <c r="J139" s="101">
        <f>K139+L139</f>
        <v>60.519309999999997</v>
      </c>
      <c r="K139" s="110">
        <f>60519.31/1000</f>
        <v>60.519309999999997</v>
      </c>
      <c r="L139" s="110">
        <v>0</v>
      </c>
      <c r="M139" s="101">
        <f>N139+O139</f>
        <v>62.809559999999998</v>
      </c>
      <c r="N139" s="110">
        <f>62809.56/1000</f>
        <v>62.809559999999998</v>
      </c>
      <c r="O139" s="110">
        <v>0</v>
      </c>
      <c r="P139" s="101">
        <f>Q139+R139</f>
        <v>68.134</v>
      </c>
      <c r="Q139" s="127">
        <v>67.533000000000001</v>
      </c>
      <c r="R139" s="127">
        <v>0.60099999999999998</v>
      </c>
      <c r="S139" s="48">
        <f>T139+U139</f>
        <v>71.989999999999995</v>
      </c>
      <c r="T139" s="48">
        <v>71.989999999999995</v>
      </c>
      <c r="U139" s="48">
        <v>0</v>
      </c>
      <c r="V139" s="48">
        <f>W139+X139</f>
        <v>77.090999999999994</v>
      </c>
      <c r="W139" s="48">
        <v>77.090999999999994</v>
      </c>
      <c r="X139" s="48">
        <v>0</v>
      </c>
      <c r="Y139" s="123">
        <f>Z139+AA139</f>
        <v>77.869</v>
      </c>
      <c r="Z139" s="124">
        <v>77.869</v>
      </c>
      <c r="AA139" s="124">
        <v>0</v>
      </c>
      <c r="AB139" s="125">
        <f>AC139+AD139</f>
        <v>68.97</v>
      </c>
      <c r="AC139" s="106">
        <v>68.97</v>
      </c>
      <c r="AD139" s="106">
        <v>0</v>
      </c>
      <c r="AE139" s="127">
        <f>AB139/F139</f>
        <v>5.7474999999999996</v>
      </c>
    </row>
    <row r="140" spans="1:31" s="105" customFormat="1">
      <c r="A140" s="97">
        <f t="shared" si="2"/>
        <v>134</v>
      </c>
      <c r="B140" s="98" t="s">
        <v>78</v>
      </c>
      <c r="C140" s="98" t="s">
        <v>90</v>
      </c>
      <c r="D140" s="99">
        <v>29</v>
      </c>
      <c r="E140" s="99"/>
      <c r="F140" s="100">
        <f>[3]МКД!$H$113</f>
        <v>18</v>
      </c>
      <c r="G140" s="101">
        <f>H140+I140</f>
        <v>132.70940999999999</v>
      </c>
      <c r="H140" s="110">
        <f>48667.99/1000</f>
        <v>48.667989999999996</v>
      </c>
      <c r="I140" s="110">
        <f>84041.42/1000</f>
        <v>84.041420000000002</v>
      </c>
      <c r="J140" s="101">
        <f>K140+L140</f>
        <v>162.87979999999999</v>
      </c>
      <c r="K140" s="110">
        <f>57747.76/1000</f>
        <v>57.74776</v>
      </c>
      <c r="L140" s="110">
        <f>105132.04/1000</f>
        <v>105.13203999999999</v>
      </c>
      <c r="M140" s="101">
        <f>N140+O140</f>
        <v>103.56371000000001</v>
      </c>
      <c r="N140" s="110">
        <f>56476.48/1000</f>
        <v>56.476480000000002</v>
      </c>
      <c r="O140" s="110">
        <f>47087.23/1000</f>
        <v>47.087230000000005</v>
      </c>
      <c r="P140" s="101">
        <f>Q140+R140</f>
        <v>69.542000000000002</v>
      </c>
      <c r="Q140" s="127">
        <v>29.411000000000001</v>
      </c>
      <c r="R140" s="127">
        <v>40.131</v>
      </c>
      <c r="S140" s="48">
        <f>T140+U140</f>
        <v>159.28</v>
      </c>
      <c r="T140" s="48">
        <v>50.52</v>
      </c>
      <c r="U140" s="48">
        <v>108.76</v>
      </c>
      <c r="V140" s="48">
        <f>W140+X140</f>
        <v>179.41199999999998</v>
      </c>
      <c r="W140" s="48">
        <v>51.817999999999998</v>
      </c>
      <c r="X140" s="48">
        <v>127.59399999999999</v>
      </c>
      <c r="Y140" s="123">
        <f>Z140+AA140</f>
        <v>166.12299999999999</v>
      </c>
      <c r="Z140" s="108">
        <v>46.415999999999997</v>
      </c>
      <c r="AA140" s="108">
        <v>119.70699999999999</v>
      </c>
      <c r="AB140" s="125">
        <f>AC140+AD140</f>
        <v>99.906999999999996</v>
      </c>
      <c r="AC140" s="125">
        <v>27.779</v>
      </c>
      <c r="AD140" s="106">
        <v>72.128</v>
      </c>
      <c r="AE140" s="127">
        <f>AB140/F140</f>
        <v>5.5503888888888886</v>
      </c>
    </row>
    <row r="141" spans="1:31" s="105" customFormat="1">
      <c r="A141" s="97">
        <f t="shared" si="2"/>
        <v>135</v>
      </c>
      <c r="B141" s="98" t="s">
        <v>78</v>
      </c>
      <c r="C141" s="98" t="s">
        <v>19</v>
      </c>
      <c r="D141" s="99">
        <v>52</v>
      </c>
      <c r="E141" s="99" t="s">
        <v>20</v>
      </c>
      <c r="F141" s="100">
        <f>[2]МКД!$H$57</f>
        <v>12</v>
      </c>
      <c r="G141" s="101">
        <f>H141+I141</f>
        <v>149.76</v>
      </c>
      <c r="H141" s="110">
        <f>42.19+44.99</f>
        <v>87.18</v>
      </c>
      <c r="I141" s="110">
        <f>1.3+61.28</f>
        <v>62.58</v>
      </c>
      <c r="J141" s="101">
        <f>K141+L141</f>
        <v>197.41000000000003</v>
      </c>
      <c r="K141" s="110">
        <f>40.09+68.36</f>
        <v>108.45</v>
      </c>
      <c r="L141" s="110">
        <f>1.29+87.67</f>
        <v>88.960000000000008</v>
      </c>
      <c r="M141" s="101">
        <f>N141+O141</f>
        <v>167.27</v>
      </c>
      <c r="N141" s="110">
        <f>40.09+66.98</f>
        <v>107.07000000000001</v>
      </c>
      <c r="O141" s="110">
        <f>1.29+58.91</f>
        <v>60.199999999999996</v>
      </c>
      <c r="P141" s="101">
        <f>Q141+R141</f>
        <v>137.94499999999999</v>
      </c>
      <c r="Q141" s="128">
        <f>27.549+62.76</f>
        <v>90.308999999999997</v>
      </c>
      <c r="R141" s="128">
        <f>-11.254+58.89</f>
        <v>47.636000000000003</v>
      </c>
      <c r="S141" s="48">
        <f>T141+U141</f>
        <v>66.78</v>
      </c>
      <c r="T141" s="48">
        <v>53.44</v>
      </c>
      <c r="U141" s="48">
        <v>13.34</v>
      </c>
      <c r="V141" s="48">
        <f>W141+X141</f>
        <v>72.466000000000008</v>
      </c>
      <c r="W141" s="48">
        <v>58.874000000000002</v>
      </c>
      <c r="X141" s="48">
        <v>13.592000000000001</v>
      </c>
      <c r="Y141" s="123">
        <f>Z141+AA141</f>
        <v>78.057999999999993</v>
      </c>
      <c r="Z141" s="124">
        <v>64.465999999999994</v>
      </c>
      <c r="AA141" s="124">
        <v>13.592000000000001</v>
      </c>
      <c r="AB141" s="125">
        <f>AC141+AD141</f>
        <v>64.442000000000007</v>
      </c>
      <c r="AC141" s="106">
        <v>52.219000000000001</v>
      </c>
      <c r="AD141" s="106">
        <v>12.223000000000001</v>
      </c>
      <c r="AE141" s="127">
        <f>AB141/F141</f>
        <v>5.370166666666667</v>
      </c>
    </row>
    <row r="142" spans="1:31" s="105" customFormat="1">
      <c r="A142" s="97">
        <f t="shared" si="2"/>
        <v>136</v>
      </c>
      <c r="B142" s="98" t="s">
        <v>78</v>
      </c>
      <c r="C142" s="98" t="s">
        <v>38</v>
      </c>
      <c r="D142" s="99">
        <v>6</v>
      </c>
      <c r="E142" s="99"/>
      <c r="F142" s="100">
        <f>[1]МКД!$H$242</f>
        <v>12</v>
      </c>
      <c r="G142" s="101">
        <f>H142+I142</f>
        <v>14.310879999999999</v>
      </c>
      <c r="H142" s="110">
        <f>14310.88/1000</f>
        <v>14.310879999999999</v>
      </c>
      <c r="I142" s="110">
        <v>0</v>
      </c>
      <c r="J142" s="101">
        <f>K142+L142</f>
        <v>71.42710000000001</v>
      </c>
      <c r="K142" s="110">
        <f>71427.1/1000</f>
        <v>71.42710000000001</v>
      </c>
      <c r="L142" s="110">
        <v>0</v>
      </c>
      <c r="M142" s="101">
        <f>N142+O142</f>
        <v>77.282179999999997</v>
      </c>
      <c r="N142" s="110">
        <f>77282.18/1000</f>
        <v>77.282179999999997</v>
      </c>
      <c r="O142" s="110">
        <v>0</v>
      </c>
      <c r="P142" s="101">
        <f>Q142+R142</f>
        <v>65.168000000000006</v>
      </c>
      <c r="Q142" s="127">
        <v>61.886000000000003</v>
      </c>
      <c r="R142" s="127">
        <v>3.282</v>
      </c>
      <c r="S142" s="48">
        <f>T142+U142</f>
        <v>72.11</v>
      </c>
      <c r="T142" s="48">
        <v>75.28</v>
      </c>
      <c r="U142" s="48">
        <v>-3.17</v>
      </c>
      <c r="V142" s="48">
        <f>W142+X142</f>
        <v>71.504000000000005</v>
      </c>
      <c r="W142" s="48">
        <v>74.676000000000002</v>
      </c>
      <c r="X142" s="48">
        <v>-3.1720000000000002</v>
      </c>
      <c r="Y142" s="123">
        <f>Z142+AA142</f>
        <v>73.947000000000003</v>
      </c>
      <c r="Z142" s="108">
        <v>73.947000000000003</v>
      </c>
      <c r="AA142" s="108">
        <v>0</v>
      </c>
      <c r="AB142" s="125">
        <f>AC142+AD142</f>
        <v>63.588999999999999</v>
      </c>
      <c r="AC142" s="106">
        <v>66.760999999999996</v>
      </c>
      <c r="AD142" s="106">
        <v>-3.1720000000000002</v>
      </c>
      <c r="AE142" s="127">
        <f>AB142/F142</f>
        <v>5.2990833333333329</v>
      </c>
    </row>
    <row r="143" spans="1:31" s="105" customFormat="1">
      <c r="A143" s="97">
        <f t="shared" si="2"/>
        <v>137</v>
      </c>
      <c r="B143" s="98" t="s">
        <v>78</v>
      </c>
      <c r="C143" s="98" t="s">
        <v>24</v>
      </c>
      <c r="D143" s="99">
        <v>5</v>
      </c>
      <c r="E143" s="99"/>
      <c r="F143" s="100">
        <f>[2]МКД!$H$27</f>
        <v>8</v>
      </c>
      <c r="G143" s="101">
        <f>H143+I143</f>
        <v>70.381360000000001</v>
      </c>
      <c r="H143" s="110">
        <f>18191.39/1000</f>
        <v>18.191389999999998</v>
      </c>
      <c r="I143" s="110">
        <f>52189.97/1000</f>
        <v>52.189970000000002</v>
      </c>
      <c r="J143" s="101">
        <f>K143+L143</f>
        <v>49.335340000000002</v>
      </c>
      <c r="K143" s="110">
        <f>20203.51/1000</f>
        <v>20.203509999999998</v>
      </c>
      <c r="L143" s="110">
        <f>29131.83/1000</f>
        <v>29.131830000000001</v>
      </c>
      <c r="M143" s="101">
        <f>N143+O143</f>
        <v>31.03801</v>
      </c>
      <c r="N143" s="110">
        <f>18950.95/1000</f>
        <v>18.950950000000002</v>
      </c>
      <c r="O143" s="110">
        <f>12087.06/1000</f>
        <v>12.087059999999999</v>
      </c>
      <c r="P143" s="101">
        <f>Q143+R143</f>
        <v>45.863</v>
      </c>
      <c r="Q143" s="127">
        <v>22.545000000000002</v>
      </c>
      <c r="R143" s="127">
        <v>23.318000000000001</v>
      </c>
      <c r="S143" s="48">
        <f>T143+U143</f>
        <v>59.930000000000007</v>
      </c>
      <c r="T143" s="48">
        <v>18.190000000000001</v>
      </c>
      <c r="U143" s="48">
        <v>41.74</v>
      </c>
      <c r="V143" s="48">
        <f>W143+X143</f>
        <v>68.191000000000003</v>
      </c>
      <c r="W143" s="48">
        <v>20.962</v>
      </c>
      <c r="X143" s="48">
        <v>47.228999999999999</v>
      </c>
      <c r="Y143" s="123">
        <f>Z143+AA143</f>
        <v>65.42</v>
      </c>
      <c r="Z143" s="124">
        <v>18.190999999999999</v>
      </c>
      <c r="AA143" s="124">
        <v>47.228999999999999</v>
      </c>
      <c r="AB143" s="125">
        <f>AC143+AD143</f>
        <v>42.191000000000003</v>
      </c>
      <c r="AC143" s="125">
        <v>10.492000000000001</v>
      </c>
      <c r="AD143" s="106">
        <v>31.699000000000002</v>
      </c>
      <c r="AE143" s="127">
        <f>AB143/F143</f>
        <v>5.2738750000000003</v>
      </c>
    </row>
    <row r="144" spans="1:31" s="105" customFormat="1">
      <c r="A144" s="97">
        <f t="shared" si="2"/>
        <v>138</v>
      </c>
      <c r="B144" s="98" t="s">
        <v>78</v>
      </c>
      <c r="C144" s="98" t="s">
        <v>55</v>
      </c>
      <c r="D144" s="99">
        <v>2</v>
      </c>
      <c r="E144" s="99"/>
      <c r="F144" s="107">
        <f>[3]МКД!$H$70</f>
        <v>12</v>
      </c>
      <c r="G144" s="101">
        <f>H144+I144</f>
        <v>68.190150000000003</v>
      </c>
      <c r="H144" s="110">
        <f>50189.73/1000</f>
        <v>50.189730000000004</v>
      </c>
      <c r="I144" s="110">
        <f>18000.42/1000</f>
        <v>18.000419999999998</v>
      </c>
      <c r="J144" s="101">
        <f>K144+L144</f>
        <v>81.333640000000003</v>
      </c>
      <c r="K144" s="110">
        <f>61514.48/1000</f>
        <v>61.514480000000006</v>
      </c>
      <c r="L144" s="110">
        <f>19819.16/1000</f>
        <v>19.81916</v>
      </c>
      <c r="M144" s="101">
        <f>N144+O144</f>
        <v>84.135689999999997</v>
      </c>
      <c r="N144" s="110">
        <f>65144.95/1000</f>
        <v>65.144949999999994</v>
      </c>
      <c r="O144" s="110">
        <f>18990.74/1000</f>
        <v>18.990740000000002</v>
      </c>
      <c r="P144" s="101">
        <f>Q144+R144</f>
        <v>85.198000000000008</v>
      </c>
      <c r="Q144" s="127">
        <v>63.314</v>
      </c>
      <c r="R144" s="127">
        <v>21.884</v>
      </c>
      <c r="S144" s="48">
        <f>T144+U144</f>
        <v>76.260000000000005</v>
      </c>
      <c r="T144" s="48">
        <v>47.63</v>
      </c>
      <c r="U144" s="48">
        <v>28.63</v>
      </c>
      <c r="V144" s="48">
        <f>W144+X144</f>
        <v>68.33</v>
      </c>
      <c r="W144" s="48">
        <v>54.896999999999998</v>
      </c>
      <c r="X144" s="48">
        <v>13.433</v>
      </c>
      <c r="Y144" s="123">
        <f>Z144+AA144</f>
        <v>54.426000000000002</v>
      </c>
      <c r="Z144" s="108">
        <v>54.426000000000002</v>
      </c>
      <c r="AA144" s="108">
        <v>0</v>
      </c>
      <c r="AB144" s="125">
        <f>AC144+AD144</f>
        <v>62.54</v>
      </c>
      <c r="AC144" s="106">
        <v>49.899000000000001</v>
      </c>
      <c r="AD144" s="106">
        <v>12.641</v>
      </c>
      <c r="AE144" s="127">
        <f>AB144/F144</f>
        <v>5.2116666666666669</v>
      </c>
    </row>
    <row r="145" spans="1:31" s="105" customFormat="1">
      <c r="A145" s="97">
        <f t="shared" si="2"/>
        <v>139</v>
      </c>
      <c r="B145" s="98" t="s">
        <v>78</v>
      </c>
      <c r="C145" s="98" t="s">
        <v>19</v>
      </c>
      <c r="D145" s="99">
        <v>52</v>
      </c>
      <c r="E145" s="99"/>
      <c r="F145" s="100">
        <v>12</v>
      </c>
      <c r="G145" s="109">
        <f>H145+I145</f>
        <v>58.06</v>
      </c>
      <c r="H145" s="109">
        <v>40.26</v>
      </c>
      <c r="I145" s="120">
        <v>17.8</v>
      </c>
      <c r="J145" s="109">
        <f>K145+L145</f>
        <v>91.21</v>
      </c>
      <c r="K145" s="109">
        <v>63.15</v>
      </c>
      <c r="L145" s="120">
        <v>28.06</v>
      </c>
      <c r="M145" s="109">
        <f>N145+O145</f>
        <v>102.61999999999999</v>
      </c>
      <c r="N145" s="109">
        <v>71.209999999999994</v>
      </c>
      <c r="O145" s="120">
        <v>31.41</v>
      </c>
      <c r="P145" s="109">
        <f>Q145+R145</f>
        <v>93.66</v>
      </c>
      <c r="Q145" s="109">
        <v>65.62</v>
      </c>
      <c r="R145" s="120">
        <v>28.04</v>
      </c>
      <c r="S145" s="48">
        <f>T145+U145</f>
        <v>50.75</v>
      </c>
      <c r="T145" s="48">
        <v>31.31</v>
      </c>
      <c r="U145" s="48">
        <v>19.440000000000001</v>
      </c>
      <c r="V145" s="48">
        <f>W145+X145</f>
        <v>63.412999999999997</v>
      </c>
      <c r="W145" s="48">
        <v>43.375999999999998</v>
      </c>
      <c r="X145" s="48">
        <v>20.036999999999999</v>
      </c>
      <c r="Y145" s="123">
        <f>Z145+AA145</f>
        <v>73.137</v>
      </c>
      <c r="Z145" s="124">
        <v>53.1</v>
      </c>
      <c r="AA145" s="124">
        <v>20.036999999999999</v>
      </c>
      <c r="AB145" s="125">
        <f>AC145+AD145</f>
        <v>61.225000000000001</v>
      </c>
      <c r="AC145" s="106">
        <v>48.454000000000001</v>
      </c>
      <c r="AD145" s="106">
        <v>12.771000000000001</v>
      </c>
      <c r="AE145" s="127">
        <f>AB145/F145</f>
        <v>5.1020833333333337</v>
      </c>
    </row>
    <row r="146" spans="1:31" s="105" customFormat="1">
      <c r="A146" s="97">
        <f t="shared" si="2"/>
        <v>140</v>
      </c>
      <c r="B146" s="98" t="s">
        <v>78</v>
      </c>
      <c r="C146" s="98" t="s">
        <v>19</v>
      </c>
      <c r="D146" s="99">
        <v>56</v>
      </c>
      <c r="E146" s="99" t="s">
        <v>20</v>
      </c>
      <c r="F146" s="100">
        <v>12</v>
      </c>
      <c r="G146" s="109">
        <f>H146+I146</f>
        <v>123.7</v>
      </c>
      <c r="H146" s="109">
        <v>53.84</v>
      </c>
      <c r="I146" s="120">
        <v>69.86</v>
      </c>
      <c r="J146" s="109">
        <f>K146+L146</f>
        <v>225.35</v>
      </c>
      <c r="K146" s="109">
        <v>100.53</v>
      </c>
      <c r="L146" s="120">
        <v>124.82</v>
      </c>
      <c r="M146" s="109">
        <f>N146+O146</f>
        <v>128.33000000000001</v>
      </c>
      <c r="N146" s="109">
        <v>116.53</v>
      </c>
      <c r="O146" s="120">
        <v>11.8</v>
      </c>
      <c r="P146" s="109">
        <f>Q146+R146</f>
        <v>125.41</v>
      </c>
      <c r="Q146" s="109">
        <v>63.22</v>
      </c>
      <c r="R146" s="120">
        <v>62.19</v>
      </c>
      <c r="S146" s="48">
        <f>T146+U146</f>
        <v>45.86</v>
      </c>
      <c r="T146" s="48">
        <v>49.67</v>
      </c>
      <c r="U146" s="48">
        <v>-3.81</v>
      </c>
      <c r="V146" s="48">
        <f>W146+X146</f>
        <v>56.237000000000002</v>
      </c>
      <c r="W146" s="48">
        <v>58.731999999999999</v>
      </c>
      <c r="X146" s="48">
        <v>-2.4950000000000001</v>
      </c>
      <c r="Y146" s="123">
        <f>Z146+AA146</f>
        <v>58.737000000000002</v>
      </c>
      <c r="Z146" s="124">
        <v>58.737000000000002</v>
      </c>
      <c r="AA146" s="124">
        <v>0</v>
      </c>
      <c r="AB146" s="125">
        <f>AC146+AD146</f>
        <v>60.781000000000006</v>
      </c>
      <c r="AC146" s="106">
        <v>62.438000000000002</v>
      </c>
      <c r="AD146" s="106">
        <v>-1.657</v>
      </c>
      <c r="AE146" s="127">
        <f>AB146/F146</f>
        <v>5.0650833333333338</v>
      </c>
    </row>
    <row r="147" spans="1:31" s="105" customFormat="1">
      <c r="A147" s="97">
        <f t="shared" si="2"/>
        <v>141</v>
      </c>
      <c r="B147" s="98" t="s">
        <v>78</v>
      </c>
      <c r="C147" s="98" t="s">
        <v>81</v>
      </c>
      <c r="D147" s="99">
        <v>4</v>
      </c>
      <c r="E147" s="99"/>
      <c r="F147" s="100">
        <f>[2]МКД!$H$9</f>
        <v>16</v>
      </c>
      <c r="G147" s="101">
        <f>H147+I147</f>
        <v>87.942959999999999</v>
      </c>
      <c r="H147" s="110">
        <f>47590.79/1000</f>
        <v>47.590789999999998</v>
      </c>
      <c r="I147" s="110">
        <f>40352.17/1000</f>
        <v>40.352170000000001</v>
      </c>
      <c r="J147" s="101">
        <f>K147+L147</f>
        <v>96.382119999999986</v>
      </c>
      <c r="K147" s="110">
        <f>49107.95/1000</f>
        <v>49.107949999999995</v>
      </c>
      <c r="L147" s="110">
        <f>47274.17/1000</f>
        <v>47.274169999999998</v>
      </c>
      <c r="M147" s="101">
        <f>N147+O147</f>
        <v>70.102260000000001</v>
      </c>
      <c r="N147" s="110">
        <f>55756.07/1000</f>
        <v>55.756070000000001</v>
      </c>
      <c r="O147" s="110">
        <f>14346.19/1000</f>
        <v>14.34619</v>
      </c>
      <c r="P147" s="101">
        <f>Q147+R147</f>
        <v>39.012999999999998</v>
      </c>
      <c r="Q147" s="127">
        <v>32.088000000000001</v>
      </c>
      <c r="R147" s="127">
        <v>6.9249999999999998</v>
      </c>
      <c r="S147" s="48">
        <f>T147+U147</f>
        <v>84.399999999999991</v>
      </c>
      <c r="T147" s="48">
        <v>19.16</v>
      </c>
      <c r="U147" s="48">
        <v>65.239999999999995</v>
      </c>
      <c r="V147" s="48">
        <f>W147+X147</f>
        <v>101.877</v>
      </c>
      <c r="W147" s="48">
        <v>23.928999999999998</v>
      </c>
      <c r="X147" s="48">
        <v>77.947999999999993</v>
      </c>
      <c r="Y147" s="123">
        <f>Z147+AA147</f>
        <v>62.666000000000004</v>
      </c>
      <c r="Z147" s="124">
        <v>13.88</v>
      </c>
      <c r="AA147" s="124">
        <v>48.786000000000001</v>
      </c>
      <c r="AB147" s="125">
        <f>AC147+AD147</f>
        <v>76.731999999999999</v>
      </c>
      <c r="AC147" s="106">
        <v>13.5</v>
      </c>
      <c r="AD147" s="126">
        <v>63.231999999999999</v>
      </c>
      <c r="AE147" s="127">
        <f>AB147/F147</f>
        <v>4.79575</v>
      </c>
    </row>
    <row r="148" spans="1:31" s="105" customFormat="1">
      <c r="A148" s="97">
        <f t="shared" si="2"/>
        <v>142</v>
      </c>
      <c r="B148" s="98" t="s">
        <v>78</v>
      </c>
      <c r="C148" s="98" t="s">
        <v>84</v>
      </c>
      <c r="D148" s="99">
        <v>4</v>
      </c>
      <c r="E148" s="99"/>
      <c r="F148" s="100">
        <f>[1]МКД!$H$377</f>
        <v>12</v>
      </c>
      <c r="G148" s="101">
        <f>H148+I148</f>
        <v>52.024790000000003</v>
      </c>
      <c r="H148" s="110">
        <f>52024.79/1000</f>
        <v>52.024790000000003</v>
      </c>
      <c r="I148" s="110">
        <v>0</v>
      </c>
      <c r="J148" s="101">
        <f>K148+L148</f>
        <v>49.998359999999998</v>
      </c>
      <c r="K148" s="110">
        <f>49998.36/1000</f>
        <v>49.998359999999998</v>
      </c>
      <c r="L148" s="110">
        <v>0</v>
      </c>
      <c r="M148" s="101">
        <f>N148+O148</f>
        <v>52.662140000000001</v>
      </c>
      <c r="N148" s="110">
        <f>52662.14/1000</f>
        <v>52.662140000000001</v>
      </c>
      <c r="O148" s="110">
        <v>0</v>
      </c>
      <c r="P148" s="101">
        <f>Q148+R148</f>
        <v>57.567</v>
      </c>
      <c r="Q148" s="127">
        <v>44.253</v>
      </c>
      <c r="R148" s="127">
        <v>13.314</v>
      </c>
      <c r="S148" s="48">
        <f>T148+U148</f>
        <v>64.819999999999993</v>
      </c>
      <c r="T148" s="48">
        <v>64.819999999999993</v>
      </c>
      <c r="U148" s="48">
        <v>0</v>
      </c>
      <c r="V148" s="48">
        <f>W148+X148</f>
        <v>57.957000000000001</v>
      </c>
      <c r="W148" s="48">
        <v>57.957000000000001</v>
      </c>
      <c r="X148" s="48">
        <v>0</v>
      </c>
      <c r="Y148" s="123">
        <f>Z148+AA148</f>
        <v>55.555999999999997</v>
      </c>
      <c r="Z148" s="124">
        <v>55.555999999999997</v>
      </c>
      <c r="AA148" s="124">
        <v>0</v>
      </c>
      <c r="AB148" s="125">
        <f>AC148+AD148</f>
        <v>55.707000000000001</v>
      </c>
      <c r="AC148" s="125">
        <v>55.707000000000001</v>
      </c>
      <c r="AD148" s="106">
        <v>0</v>
      </c>
      <c r="AE148" s="127">
        <f>AB148/F148</f>
        <v>4.6422499999999998</v>
      </c>
    </row>
    <row r="149" spans="1:31" s="105" customFormat="1">
      <c r="A149" s="97">
        <f t="shared" si="2"/>
        <v>143</v>
      </c>
      <c r="B149" s="98" t="s">
        <v>78</v>
      </c>
      <c r="C149" s="98" t="s">
        <v>98</v>
      </c>
      <c r="D149" s="99">
        <v>45</v>
      </c>
      <c r="E149" s="99"/>
      <c r="F149" s="100">
        <f>[1]МКД!$H$256</f>
        <v>12</v>
      </c>
      <c r="G149" s="101">
        <f>H149+I149</f>
        <v>0</v>
      </c>
      <c r="H149" s="110">
        <v>0</v>
      </c>
      <c r="I149" s="110"/>
      <c r="J149" s="101">
        <f>K149+L149</f>
        <v>104.97013</v>
      </c>
      <c r="K149" s="110">
        <f>95966.02/1000</f>
        <v>95.96602</v>
      </c>
      <c r="L149" s="110">
        <f>9004.11/1000</f>
        <v>9.0041100000000007</v>
      </c>
      <c r="M149" s="101">
        <f>N149+O149</f>
        <v>71.197890000000001</v>
      </c>
      <c r="N149" s="110">
        <f>63161.61/1000</f>
        <v>63.161610000000003</v>
      </c>
      <c r="O149" s="110">
        <f>8036.28/1000</f>
        <v>8.0362799999999996</v>
      </c>
      <c r="P149" s="101">
        <f>Q149+R149</f>
        <v>82.385999999999996</v>
      </c>
      <c r="Q149" s="127">
        <v>73.600999999999999</v>
      </c>
      <c r="R149" s="127">
        <v>8.7850000000000001</v>
      </c>
      <c r="S149" s="48">
        <f>T149+U149</f>
        <v>57.33</v>
      </c>
      <c r="T149" s="48">
        <v>51</v>
      </c>
      <c r="U149" s="48">
        <v>6.33</v>
      </c>
      <c r="V149" s="48">
        <f>W149+X149</f>
        <v>65.152999999999992</v>
      </c>
      <c r="W149" s="48">
        <v>59.841999999999999</v>
      </c>
      <c r="X149" s="48">
        <v>5.3109999999999999</v>
      </c>
      <c r="Y149" s="123">
        <f>Z149+AA149</f>
        <v>68.009</v>
      </c>
      <c r="Z149" s="108">
        <v>61.374000000000002</v>
      </c>
      <c r="AA149" s="108">
        <v>6.6349999999999998</v>
      </c>
      <c r="AB149" s="125">
        <f>AC149+AD149</f>
        <v>55.271999999999998</v>
      </c>
      <c r="AC149" s="106">
        <v>46.268999999999998</v>
      </c>
      <c r="AD149" s="106">
        <v>9.0030000000000001</v>
      </c>
      <c r="AE149" s="127">
        <f>AB149/F149</f>
        <v>4.6059999999999999</v>
      </c>
    </row>
    <row r="150" spans="1:31" s="105" customFormat="1">
      <c r="A150" s="97">
        <f t="shared" si="2"/>
        <v>144</v>
      </c>
      <c r="B150" s="98" t="s">
        <v>78</v>
      </c>
      <c r="C150" s="98" t="s">
        <v>83</v>
      </c>
      <c r="D150" s="99">
        <v>9</v>
      </c>
      <c r="E150" s="99" t="s">
        <v>21</v>
      </c>
      <c r="F150" s="100">
        <v>5</v>
      </c>
      <c r="G150" s="101"/>
      <c r="H150" s="110"/>
      <c r="I150" s="110"/>
      <c r="J150" s="101"/>
      <c r="K150" s="110"/>
      <c r="L150" s="110"/>
      <c r="M150" s="101"/>
      <c r="N150" s="110"/>
      <c r="O150" s="110"/>
      <c r="P150" s="101"/>
      <c r="Q150" s="127"/>
      <c r="R150" s="127"/>
      <c r="S150" s="48">
        <f>T150+U150</f>
        <v>31.33</v>
      </c>
      <c r="T150" s="48">
        <v>28.31</v>
      </c>
      <c r="U150" s="48">
        <v>3.02</v>
      </c>
      <c r="V150" s="48">
        <f>W150+X150</f>
        <v>78.393000000000001</v>
      </c>
      <c r="W150" s="48">
        <v>30.738</v>
      </c>
      <c r="X150" s="48">
        <v>47.655000000000001</v>
      </c>
      <c r="Y150" s="123">
        <f>Z150+AA150</f>
        <v>69.566000000000003</v>
      </c>
      <c r="Z150" s="124">
        <v>21.911000000000001</v>
      </c>
      <c r="AA150" s="124">
        <v>47.655000000000001</v>
      </c>
      <c r="AB150" s="125">
        <f>AC150+AD150</f>
        <v>22.146000000000001</v>
      </c>
      <c r="AC150" s="106">
        <v>19.582000000000001</v>
      </c>
      <c r="AD150" s="106">
        <v>2.5640000000000001</v>
      </c>
      <c r="AE150" s="127">
        <f>AB150/F150</f>
        <v>4.4291999999999998</v>
      </c>
    </row>
    <row r="151" spans="1:31" s="105" customFormat="1">
      <c r="A151" s="97">
        <f t="shared" si="2"/>
        <v>145</v>
      </c>
      <c r="B151" s="98" t="s">
        <v>78</v>
      </c>
      <c r="C151" s="98" t="s">
        <v>91</v>
      </c>
      <c r="D151" s="99">
        <v>4</v>
      </c>
      <c r="E151" s="99"/>
      <c r="F151" s="100">
        <f>[1]МКД!$H$245</f>
        <v>12</v>
      </c>
      <c r="G151" s="101">
        <f>H151+I151</f>
        <v>0</v>
      </c>
      <c r="H151" s="110">
        <v>0</v>
      </c>
      <c r="I151" s="110"/>
      <c r="J151" s="101">
        <f>K151+L151</f>
        <v>90.861460000000008</v>
      </c>
      <c r="K151" s="110">
        <f>78395.6/1000</f>
        <v>78.395600000000002</v>
      </c>
      <c r="L151" s="110">
        <f>12465.86/1000</f>
        <v>12.465860000000001</v>
      </c>
      <c r="M151" s="101">
        <f>N151+O151</f>
        <v>115.19194</v>
      </c>
      <c r="N151" s="110">
        <f>97960.3/1000</f>
        <v>97.960300000000004</v>
      </c>
      <c r="O151" s="110">
        <f>17231.64/1000</f>
        <v>17.231639999999999</v>
      </c>
      <c r="P151" s="101">
        <f>Q151+R151</f>
        <v>77.599999999999994</v>
      </c>
      <c r="Q151" s="127">
        <v>62.33</v>
      </c>
      <c r="R151" s="127">
        <v>15.27</v>
      </c>
      <c r="S151" s="48">
        <f>T151+U151</f>
        <v>45.69</v>
      </c>
      <c r="T151" s="48">
        <v>36.299999999999997</v>
      </c>
      <c r="U151" s="48">
        <v>9.39</v>
      </c>
      <c r="V151" s="48">
        <f>W151+X151</f>
        <v>55.927000000000007</v>
      </c>
      <c r="W151" s="48">
        <v>47.917000000000002</v>
      </c>
      <c r="X151" s="48">
        <f>10.3-2.29</f>
        <v>8.0100000000000016</v>
      </c>
      <c r="Y151" s="123">
        <f>Z151+AA151</f>
        <v>61.796000000000006</v>
      </c>
      <c r="Z151" s="108">
        <v>51.496000000000002</v>
      </c>
      <c r="AA151" s="108">
        <v>10.3</v>
      </c>
      <c r="AB151" s="125">
        <f>AC151+AD151</f>
        <v>52.923999999999999</v>
      </c>
      <c r="AC151" s="125">
        <v>46.237000000000002</v>
      </c>
      <c r="AD151" s="106">
        <v>6.6870000000000003</v>
      </c>
      <c r="AE151" s="127">
        <f>AB151/F151</f>
        <v>4.410333333333333</v>
      </c>
    </row>
    <row r="152" spans="1:31" s="105" customFormat="1">
      <c r="A152" s="97">
        <f t="shared" si="2"/>
        <v>146</v>
      </c>
      <c r="B152" s="98" t="s">
        <v>78</v>
      </c>
      <c r="C152" s="98" t="s">
        <v>98</v>
      </c>
      <c r="D152" s="99">
        <v>45</v>
      </c>
      <c r="E152" s="99" t="s">
        <v>21</v>
      </c>
      <c r="F152" s="100">
        <f>[3]МКД!$H$159</f>
        <v>8</v>
      </c>
      <c r="G152" s="101">
        <f>H152+I152</f>
        <v>34.836930000000002</v>
      </c>
      <c r="H152" s="110">
        <f>29071.56/1000</f>
        <v>29.071560000000002</v>
      </c>
      <c r="I152" s="110">
        <f>5765.37/1000</f>
        <v>5.7653699999999999</v>
      </c>
      <c r="J152" s="101">
        <f>K152+L152</f>
        <v>31.666980000000002</v>
      </c>
      <c r="K152" s="110">
        <f>26202.49/1000</f>
        <v>26.202490000000001</v>
      </c>
      <c r="L152" s="110">
        <f>5464.49/1000</f>
        <v>5.4644899999999996</v>
      </c>
      <c r="M152" s="101">
        <f>N152+O152</f>
        <v>42.609499999999997</v>
      </c>
      <c r="N152" s="110">
        <f>34206.56/1000</f>
        <v>34.206559999999996</v>
      </c>
      <c r="O152" s="110">
        <f>8402.94/1000</f>
        <v>8.402940000000001</v>
      </c>
      <c r="P152" s="101">
        <f>Q152+R152</f>
        <v>46.293999999999997</v>
      </c>
      <c r="Q152" s="127">
        <v>20.725000000000001</v>
      </c>
      <c r="R152" s="127">
        <v>25.568999999999999</v>
      </c>
      <c r="S152" s="48">
        <f>T152+U152</f>
        <v>35.120000000000005</v>
      </c>
      <c r="T152" s="48">
        <v>17.52</v>
      </c>
      <c r="U152" s="48">
        <v>17.600000000000001</v>
      </c>
      <c r="V152" s="48">
        <f>W152+X152</f>
        <v>42.748000000000005</v>
      </c>
      <c r="W152" s="48">
        <v>19.561</v>
      </c>
      <c r="X152" s="48">
        <v>23.187000000000001</v>
      </c>
      <c r="Y152" s="123">
        <f>Z152+AA152</f>
        <v>47.144999999999996</v>
      </c>
      <c r="Z152" s="108">
        <v>23.957999999999998</v>
      </c>
      <c r="AA152" s="108">
        <v>23.187000000000001</v>
      </c>
      <c r="AB152" s="125">
        <f>AC152+AD152</f>
        <v>34.339999999999996</v>
      </c>
      <c r="AC152" s="106">
        <v>15.962999999999999</v>
      </c>
      <c r="AD152" s="106">
        <v>18.376999999999999</v>
      </c>
      <c r="AE152" s="127">
        <f>AB152/F152</f>
        <v>4.2924999999999995</v>
      </c>
    </row>
    <row r="153" spans="1:31" s="105" customFormat="1">
      <c r="A153" s="97">
        <f t="shared" si="2"/>
        <v>147</v>
      </c>
      <c r="B153" s="98" t="s">
        <v>78</v>
      </c>
      <c r="C153" s="98" t="s">
        <v>88</v>
      </c>
      <c r="D153" s="99">
        <v>10</v>
      </c>
      <c r="E153" s="99"/>
      <c r="F153" s="100">
        <f>[2]МКД!$H$66</f>
        <v>12</v>
      </c>
      <c r="G153" s="101">
        <f>H153+I153</f>
        <v>46.567020000000007</v>
      </c>
      <c r="H153" s="110">
        <f>45979.62/1000</f>
        <v>45.979620000000004</v>
      </c>
      <c r="I153" s="110">
        <f>587.4/1000</f>
        <v>0.58739999999999992</v>
      </c>
      <c r="J153" s="101">
        <f>K153+L153</f>
        <v>60.815109999999997</v>
      </c>
      <c r="K153" s="110">
        <f>60090.13/1000</f>
        <v>60.090129999999995</v>
      </c>
      <c r="L153" s="110">
        <f>724.98/1000</f>
        <v>0.72498000000000007</v>
      </c>
      <c r="M153" s="101">
        <f>N153+O153</f>
        <v>64.590990000000005</v>
      </c>
      <c r="N153" s="110">
        <f>63832.54/1000</f>
        <v>63.832540000000002</v>
      </c>
      <c r="O153" s="110">
        <f>758.45/1000</f>
        <v>0.75845000000000007</v>
      </c>
      <c r="P153" s="101">
        <f>Q153+R153</f>
        <v>67.61099999999999</v>
      </c>
      <c r="Q153" s="127">
        <v>48.966999999999999</v>
      </c>
      <c r="R153" s="127">
        <v>18.643999999999998</v>
      </c>
      <c r="S153" s="48">
        <f>T153+U153</f>
        <v>78.67</v>
      </c>
      <c r="T153" s="48">
        <v>79.36</v>
      </c>
      <c r="U153" s="48">
        <v>-0.69</v>
      </c>
      <c r="V153" s="48">
        <f>W153+X153</f>
        <v>57.93</v>
      </c>
      <c r="W153" s="48">
        <v>58.875999999999998</v>
      </c>
      <c r="X153" s="48">
        <v>-0.94599999999999995</v>
      </c>
      <c r="Y153" s="123">
        <f>Z153+AA153</f>
        <v>53.302999999999997</v>
      </c>
      <c r="Z153" s="108">
        <v>53.302999999999997</v>
      </c>
      <c r="AA153" s="108">
        <v>0</v>
      </c>
      <c r="AB153" s="125">
        <f>AC153+AD153</f>
        <v>47.857999999999997</v>
      </c>
      <c r="AC153" s="106">
        <v>49.475999999999999</v>
      </c>
      <c r="AD153" s="106">
        <v>-1.6180000000000001</v>
      </c>
      <c r="AE153" s="127">
        <f>AB153/F153</f>
        <v>3.9881666666666664</v>
      </c>
    </row>
    <row r="154" spans="1:31" s="105" customFormat="1">
      <c r="A154" s="97">
        <f t="shared" si="2"/>
        <v>148</v>
      </c>
      <c r="B154" s="98" t="s">
        <v>78</v>
      </c>
      <c r="C154" s="98" t="s">
        <v>99</v>
      </c>
      <c r="D154" s="99">
        <v>3</v>
      </c>
      <c r="E154" s="99" t="s">
        <v>20</v>
      </c>
      <c r="F154" s="100">
        <f>[3]МКД!$H$162</f>
        <v>8</v>
      </c>
      <c r="G154" s="101">
        <f>H154+I154</f>
        <v>41.669629999999998</v>
      </c>
      <c r="H154" s="110">
        <f>25854.42/1000</f>
        <v>25.854419999999998</v>
      </c>
      <c r="I154" s="110">
        <f>15815.21/1000</f>
        <v>15.815209999999999</v>
      </c>
      <c r="J154" s="101">
        <f>K154+L154</f>
        <v>37.281760000000006</v>
      </c>
      <c r="K154" s="110">
        <f>26720.41/1000</f>
        <v>26.720410000000001</v>
      </c>
      <c r="L154" s="110">
        <f>10561.35/1000</f>
        <v>10.561350000000001</v>
      </c>
      <c r="M154" s="101">
        <f>N154+O154</f>
        <v>39.727460000000001</v>
      </c>
      <c r="N154" s="110">
        <f>32360.49/1000</f>
        <v>32.360489999999999</v>
      </c>
      <c r="O154" s="110">
        <f>7366.97/1000</f>
        <v>7.3669700000000002</v>
      </c>
      <c r="P154" s="101">
        <f>Q154+R154</f>
        <v>37.116</v>
      </c>
      <c r="Q154" s="127">
        <v>21.623999999999999</v>
      </c>
      <c r="R154" s="127">
        <v>15.492000000000001</v>
      </c>
      <c r="S154" s="48">
        <f>T154+U154</f>
        <v>44.82</v>
      </c>
      <c r="T154" s="48">
        <v>20.25</v>
      </c>
      <c r="U154" s="48">
        <v>24.57</v>
      </c>
      <c r="V154" s="48">
        <f>W154+X154</f>
        <v>55.488</v>
      </c>
      <c r="W154" s="48">
        <v>23.056000000000001</v>
      </c>
      <c r="X154" s="48">
        <v>32.432000000000002</v>
      </c>
      <c r="Y154" s="123">
        <f>Z154+AA154</f>
        <v>47.775999999999996</v>
      </c>
      <c r="Z154" s="108">
        <v>16.741</v>
      </c>
      <c r="AA154" s="108">
        <v>31.035</v>
      </c>
      <c r="AB154" s="125">
        <f>AC154+AD154</f>
        <v>31.551000000000002</v>
      </c>
      <c r="AC154" s="125">
        <v>9.0280000000000005</v>
      </c>
      <c r="AD154" s="106">
        <v>22.523</v>
      </c>
      <c r="AE154" s="127">
        <f>AB154/F154</f>
        <v>3.9438750000000002</v>
      </c>
    </row>
    <row r="155" spans="1:31" s="105" customFormat="1">
      <c r="A155" s="97">
        <f t="shared" si="2"/>
        <v>149</v>
      </c>
      <c r="B155" s="98" t="s">
        <v>78</v>
      </c>
      <c r="C155" s="98" t="s">
        <v>76</v>
      </c>
      <c r="D155" s="99">
        <v>9</v>
      </c>
      <c r="E155" s="99" t="s">
        <v>20</v>
      </c>
      <c r="F155" s="100">
        <f>[3]МКД!$H$125</f>
        <v>12</v>
      </c>
      <c r="G155" s="101">
        <f>H155+I155</f>
        <v>44.194270000000003</v>
      </c>
      <c r="H155" s="110">
        <f>38897.99/1000</f>
        <v>38.89799</v>
      </c>
      <c r="I155" s="110">
        <f>5296.28/1000</f>
        <v>5.2962799999999994</v>
      </c>
      <c r="J155" s="101">
        <f>K155+L155</f>
        <v>51.246449999999996</v>
      </c>
      <c r="K155" s="110">
        <f>47926.86/1000</f>
        <v>47.926859999999998</v>
      </c>
      <c r="L155" s="110">
        <f>3319.59/1000</f>
        <v>3.3195900000000003</v>
      </c>
      <c r="M155" s="101">
        <f>N155+O155</f>
        <v>51.739580000000004</v>
      </c>
      <c r="N155" s="110">
        <f>48279.35/1000</f>
        <v>48.279350000000001</v>
      </c>
      <c r="O155" s="110">
        <f>3460.23/1000</f>
        <v>3.4602300000000001</v>
      </c>
      <c r="P155" s="101">
        <f>Q155+R155</f>
        <v>43.136000000000003</v>
      </c>
      <c r="Q155" s="127">
        <v>36.468000000000004</v>
      </c>
      <c r="R155" s="127">
        <v>6.6680000000000001</v>
      </c>
      <c r="S155" s="48">
        <f>T155+U155</f>
        <v>55.49</v>
      </c>
      <c r="T155" s="48">
        <v>47.85</v>
      </c>
      <c r="U155" s="48">
        <v>7.64</v>
      </c>
      <c r="V155" s="48">
        <f>W155+X155</f>
        <v>46.445999999999998</v>
      </c>
      <c r="W155" s="48">
        <v>36.921999999999997</v>
      </c>
      <c r="X155" s="48">
        <v>9.5239999999999991</v>
      </c>
      <c r="Y155" s="123">
        <f>Z155+AA155</f>
        <v>52.920999999999999</v>
      </c>
      <c r="Z155" s="108">
        <v>43.396999999999998</v>
      </c>
      <c r="AA155" s="108">
        <v>9.5239999999999991</v>
      </c>
      <c r="AB155" s="125">
        <f>AC155+AD155</f>
        <v>46.914000000000001</v>
      </c>
      <c r="AC155" s="125">
        <v>36.142000000000003</v>
      </c>
      <c r="AD155" s="106">
        <v>10.772</v>
      </c>
      <c r="AE155" s="127">
        <f>AB155/F155</f>
        <v>3.9095</v>
      </c>
    </row>
    <row r="156" spans="1:31" s="105" customFormat="1">
      <c r="A156" s="97">
        <f t="shared" si="2"/>
        <v>150</v>
      </c>
      <c r="B156" s="98" t="s">
        <v>78</v>
      </c>
      <c r="C156" s="98" t="s">
        <v>38</v>
      </c>
      <c r="D156" s="99">
        <v>24</v>
      </c>
      <c r="E156" s="99"/>
      <c r="F156" s="100">
        <v>16</v>
      </c>
      <c r="G156" s="101"/>
      <c r="H156" s="110"/>
      <c r="I156" s="110"/>
      <c r="J156" s="101"/>
      <c r="K156" s="110"/>
      <c r="L156" s="110"/>
      <c r="M156" s="101"/>
      <c r="N156" s="110"/>
      <c r="O156" s="110"/>
      <c r="P156" s="101"/>
      <c r="Q156" s="127"/>
      <c r="R156" s="127"/>
      <c r="S156" s="48">
        <f>T156+U156</f>
        <v>36.47</v>
      </c>
      <c r="T156" s="48">
        <v>36.47</v>
      </c>
      <c r="U156" s="48">
        <v>0</v>
      </c>
      <c r="V156" s="48">
        <f>W156+X156</f>
        <v>52.325000000000003</v>
      </c>
      <c r="W156" s="48">
        <v>52.325000000000003</v>
      </c>
      <c r="X156" s="48">
        <v>0</v>
      </c>
      <c r="Y156" s="123">
        <f>Z156+AA156</f>
        <v>57.470999999999997</v>
      </c>
      <c r="Z156" s="108">
        <v>57.470999999999997</v>
      </c>
      <c r="AA156" s="108">
        <v>0</v>
      </c>
      <c r="AB156" s="125">
        <f>AC156+AD156</f>
        <v>62.093000000000004</v>
      </c>
      <c r="AC156" s="125">
        <v>62.093000000000004</v>
      </c>
      <c r="AD156" s="106">
        <v>0</v>
      </c>
      <c r="AE156" s="127">
        <f>AB156/F156</f>
        <v>3.8808125000000002</v>
      </c>
    </row>
    <row r="157" spans="1:31" s="105" customFormat="1">
      <c r="A157" s="97">
        <f t="shared" si="2"/>
        <v>151</v>
      </c>
      <c r="B157" s="98" t="s">
        <v>78</v>
      </c>
      <c r="C157" s="98" t="s">
        <v>19</v>
      </c>
      <c r="D157" s="99">
        <v>53</v>
      </c>
      <c r="E157" s="99"/>
      <c r="F157" s="100">
        <f>[2]МКД!$H$58</f>
        <v>12</v>
      </c>
      <c r="G157" s="101">
        <f>H157+I157</f>
        <v>58.85</v>
      </c>
      <c r="H157" s="110">
        <f>21.3+30.18</f>
        <v>51.480000000000004</v>
      </c>
      <c r="I157" s="110">
        <f>1.43+5.94</f>
        <v>7.37</v>
      </c>
      <c r="J157" s="101">
        <f>K157+L157</f>
        <v>61.839999999999996</v>
      </c>
      <c r="K157" s="110">
        <f>21.3+32.58</f>
        <v>53.879999999999995</v>
      </c>
      <c r="L157" s="110">
        <f>1.58+6.38</f>
        <v>7.96</v>
      </c>
      <c r="M157" s="101">
        <f>N157+O157</f>
        <v>63.620000000000005</v>
      </c>
      <c r="N157" s="110">
        <f>21.3+35.09</f>
        <v>56.39</v>
      </c>
      <c r="O157" s="110">
        <f>1.58+5.65</f>
        <v>7.23</v>
      </c>
      <c r="P157" s="101">
        <f>Q157+R157</f>
        <v>34.532999999999994</v>
      </c>
      <c r="Q157" s="128">
        <f>12.463+23.77</f>
        <v>36.232999999999997</v>
      </c>
      <c r="R157" s="128">
        <f>-5.62+3.92</f>
        <v>-1.7000000000000002</v>
      </c>
      <c r="S157" s="48">
        <f>T157+U157</f>
        <v>35.36</v>
      </c>
      <c r="T157" s="48">
        <v>38.93</v>
      </c>
      <c r="U157" s="48">
        <v>-3.57</v>
      </c>
      <c r="V157" s="48">
        <f>W157+X157</f>
        <v>37.565999999999995</v>
      </c>
      <c r="W157" s="48">
        <v>40.976999999999997</v>
      </c>
      <c r="X157" s="48">
        <v>-3.411</v>
      </c>
      <c r="Y157" s="123">
        <f>Z157+AA157</f>
        <v>42.500999999999998</v>
      </c>
      <c r="Z157" s="124">
        <v>42.500999999999998</v>
      </c>
      <c r="AA157" s="124">
        <v>0</v>
      </c>
      <c r="AB157" s="125">
        <f>AC157+AD157</f>
        <v>42.079000000000001</v>
      </c>
      <c r="AC157" s="106">
        <v>45.956000000000003</v>
      </c>
      <c r="AD157" s="106">
        <v>-3.8769999999999998</v>
      </c>
      <c r="AE157" s="127">
        <f>AB157/F157</f>
        <v>3.5065833333333334</v>
      </c>
    </row>
    <row r="158" spans="1:31" s="105" customFormat="1">
      <c r="A158" s="97">
        <f t="shared" si="2"/>
        <v>152</v>
      </c>
      <c r="B158" s="98" t="s">
        <v>78</v>
      </c>
      <c r="C158" s="98" t="s">
        <v>81</v>
      </c>
      <c r="D158" s="99">
        <v>45</v>
      </c>
      <c r="E158" s="99" t="s">
        <v>20</v>
      </c>
      <c r="F158" s="100">
        <v>12</v>
      </c>
      <c r="G158" s="101">
        <f>H158+I158</f>
        <v>44.302370000000003</v>
      </c>
      <c r="H158" s="110">
        <f>37058.48/1000</f>
        <v>37.058480000000003</v>
      </c>
      <c r="I158" s="110">
        <f>7243.89/1000</f>
        <v>7.2438900000000004</v>
      </c>
      <c r="J158" s="101">
        <f>K158+L158</f>
        <v>38.943339999999999</v>
      </c>
      <c r="K158" s="110">
        <f>34687.78/1000</f>
        <v>34.687779999999997</v>
      </c>
      <c r="L158" s="110">
        <f>4255.56/1000</f>
        <v>4.25556</v>
      </c>
      <c r="M158" s="101">
        <f>N158+O158</f>
        <v>39.442259999999997</v>
      </c>
      <c r="N158" s="110">
        <f>34380.57/1000</f>
        <v>34.380569999999999</v>
      </c>
      <c r="O158" s="110">
        <f>5061.69/1000</f>
        <v>5.0616899999999996</v>
      </c>
      <c r="P158" s="101">
        <f>Q158+R158</f>
        <v>32.398000000000003</v>
      </c>
      <c r="Q158" s="127">
        <v>19.809000000000001</v>
      </c>
      <c r="R158" s="127">
        <v>12.589</v>
      </c>
      <c r="S158" s="48">
        <f>T158+U158</f>
        <v>34.199999999999996</v>
      </c>
      <c r="T158" s="48">
        <v>22.33</v>
      </c>
      <c r="U158" s="48">
        <v>11.87</v>
      </c>
      <c r="V158" s="48">
        <f>W158+X158</f>
        <v>35.253999999999998</v>
      </c>
      <c r="W158" s="48">
        <v>24.91</v>
      </c>
      <c r="X158" s="48">
        <v>10.343999999999999</v>
      </c>
      <c r="Y158" s="123">
        <f>Z158+AA158</f>
        <v>40.908000000000001</v>
      </c>
      <c r="Z158" s="124">
        <v>23.196999999999999</v>
      </c>
      <c r="AA158" s="124">
        <v>17.710999999999999</v>
      </c>
      <c r="AB158" s="125">
        <f>AC158+AD158</f>
        <v>40.884999999999998</v>
      </c>
      <c r="AC158" s="106">
        <v>27.978999999999999</v>
      </c>
      <c r="AD158" s="106">
        <v>12.906000000000001</v>
      </c>
      <c r="AE158" s="127">
        <f>AB158/F158</f>
        <v>3.407083333333333</v>
      </c>
    </row>
    <row r="159" spans="1:31" s="105" customFormat="1">
      <c r="A159" s="97">
        <f t="shared" si="2"/>
        <v>153</v>
      </c>
      <c r="B159" s="98" t="s">
        <v>78</v>
      </c>
      <c r="C159" s="98" t="s">
        <v>92</v>
      </c>
      <c r="D159" s="99">
        <v>5</v>
      </c>
      <c r="E159" s="99"/>
      <c r="F159" s="100">
        <f>[3]МКД!$H$128</f>
        <v>12</v>
      </c>
      <c r="G159" s="101">
        <f>H159+I159</f>
        <v>29.18338</v>
      </c>
      <c r="H159" s="110">
        <f>28535.1/1000</f>
        <v>28.5351</v>
      </c>
      <c r="I159" s="110">
        <f>648.28/1000</f>
        <v>0.64827999999999997</v>
      </c>
      <c r="J159" s="101">
        <f>K159+L159</f>
        <v>31.779720000000001</v>
      </c>
      <c r="K159" s="110">
        <f>31077.66/1000</f>
        <v>31.077660000000002</v>
      </c>
      <c r="L159" s="110">
        <f>702.06/1000</f>
        <v>0.70205999999999991</v>
      </c>
      <c r="M159" s="101">
        <f>N159+O159</f>
        <v>33.870330000000003</v>
      </c>
      <c r="N159" s="110">
        <f>33100.37/1000</f>
        <v>33.100370000000005</v>
      </c>
      <c r="O159" s="110">
        <f>769.96/1000</f>
        <v>0.76996000000000009</v>
      </c>
      <c r="P159" s="101">
        <f>Q159+R159</f>
        <v>43.161999999999999</v>
      </c>
      <c r="Q159" s="127">
        <v>42.164000000000001</v>
      </c>
      <c r="R159" s="127">
        <v>0.998</v>
      </c>
      <c r="S159" s="48">
        <f>T159+U159</f>
        <v>47.46</v>
      </c>
      <c r="T159" s="48">
        <v>46.36</v>
      </c>
      <c r="U159" s="48">
        <v>1.1000000000000001</v>
      </c>
      <c r="V159" s="48">
        <f>W159+X159</f>
        <v>49.032000000000004</v>
      </c>
      <c r="W159" s="48">
        <v>47.874000000000002</v>
      </c>
      <c r="X159" s="48">
        <v>1.1579999999999999</v>
      </c>
      <c r="Y159" s="123">
        <f>Z159+AA159</f>
        <v>48.286999999999999</v>
      </c>
      <c r="Z159" s="108">
        <v>47.128999999999998</v>
      </c>
      <c r="AA159" s="108">
        <v>1.1579999999999999</v>
      </c>
      <c r="AB159" s="125">
        <f>AC159+AD159</f>
        <v>39.65</v>
      </c>
      <c r="AC159" s="125">
        <v>39.186</v>
      </c>
      <c r="AD159" s="106">
        <v>0.46400000000000002</v>
      </c>
      <c r="AE159" s="127">
        <f>AB159/F159</f>
        <v>3.3041666666666667</v>
      </c>
    </row>
    <row r="160" spans="1:31" s="105" customFormat="1">
      <c r="A160" s="97">
        <f t="shared" si="2"/>
        <v>154</v>
      </c>
      <c r="B160" s="98" t="s">
        <v>78</v>
      </c>
      <c r="C160" s="98" t="s">
        <v>19</v>
      </c>
      <c r="D160" s="99">
        <v>49</v>
      </c>
      <c r="E160" s="99"/>
      <c r="F160" s="100">
        <v>12</v>
      </c>
      <c r="G160" s="109">
        <f>H160+I160</f>
        <v>27.79</v>
      </c>
      <c r="H160" s="109">
        <v>23.5</v>
      </c>
      <c r="I160" s="120">
        <v>4.29</v>
      </c>
      <c r="J160" s="109">
        <f>K160+L160</f>
        <v>55.739999999999995</v>
      </c>
      <c r="K160" s="120">
        <v>51.73</v>
      </c>
      <c r="L160" s="120">
        <v>4.01</v>
      </c>
      <c r="M160" s="109">
        <f>N160+O160</f>
        <v>49.3</v>
      </c>
      <c r="N160" s="120">
        <v>46.05</v>
      </c>
      <c r="O160" s="120">
        <v>3.25</v>
      </c>
      <c r="P160" s="109">
        <f>Q160+R160</f>
        <v>37.090000000000003</v>
      </c>
      <c r="Q160" s="120">
        <v>34.200000000000003</v>
      </c>
      <c r="R160" s="120">
        <v>2.89</v>
      </c>
      <c r="S160" s="48">
        <f>T160+U160</f>
        <v>36.1</v>
      </c>
      <c r="T160" s="48">
        <v>35.24</v>
      </c>
      <c r="U160" s="48">
        <v>0.86</v>
      </c>
      <c r="V160" s="48">
        <f>W160+X160</f>
        <v>47.276000000000003</v>
      </c>
      <c r="W160" s="48">
        <v>46.143000000000001</v>
      </c>
      <c r="X160" s="48">
        <v>1.133</v>
      </c>
      <c r="Y160" s="123">
        <f>Z160+AA160</f>
        <v>52.387</v>
      </c>
      <c r="Z160" s="124">
        <v>51.283000000000001</v>
      </c>
      <c r="AA160" s="124">
        <v>1.1040000000000001</v>
      </c>
      <c r="AB160" s="125">
        <f>AC160+AD160</f>
        <v>38.919999999999995</v>
      </c>
      <c r="AC160" s="106">
        <v>38.363999999999997</v>
      </c>
      <c r="AD160" s="106">
        <v>0.55600000000000005</v>
      </c>
      <c r="AE160" s="127">
        <f>AB160/F160</f>
        <v>3.2433333333333327</v>
      </c>
    </row>
    <row r="161" spans="1:31" s="105" customFormat="1">
      <c r="A161" s="97">
        <f t="shared" si="2"/>
        <v>155</v>
      </c>
      <c r="B161" s="98" t="s">
        <v>78</v>
      </c>
      <c r="C161" s="98" t="s">
        <v>55</v>
      </c>
      <c r="D161" s="99">
        <v>4</v>
      </c>
      <c r="E161" s="99" t="s">
        <v>20</v>
      </c>
      <c r="F161" s="107">
        <v>12</v>
      </c>
      <c r="G161" s="109">
        <f>H161+I161</f>
        <v>95.789999999999992</v>
      </c>
      <c r="H161" s="109">
        <v>49.97</v>
      </c>
      <c r="I161" s="120">
        <v>45.82</v>
      </c>
      <c r="J161" s="109">
        <f>K161+L161</f>
        <v>54.019999999999996</v>
      </c>
      <c r="K161" s="109">
        <v>34.909999999999997</v>
      </c>
      <c r="L161" s="120">
        <v>19.11</v>
      </c>
      <c r="M161" s="109">
        <f>N161+O161</f>
        <v>47.379999999999995</v>
      </c>
      <c r="N161" s="109">
        <v>33.979999999999997</v>
      </c>
      <c r="O161" s="120">
        <v>13.4</v>
      </c>
      <c r="P161" s="109">
        <f>Q161+R161</f>
        <v>41.61</v>
      </c>
      <c r="Q161" s="109">
        <v>32.15</v>
      </c>
      <c r="R161" s="120">
        <v>9.4600000000000009</v>
      </c>
      <c r="S161" s="48">
        <f>T161+U161</f>
        <v>45.63</v>
      </c>
      <c r="T161" s="48">
        <v>29.75</v>
      </c>
      <c r="U161" s="48">
        <v>15.88</v>
      </c>
      <c r="V161" s="48">
        <f>W161+X161</f>
        <v>50.275999999999996</v>
      </c>
      <c r="W161" s="48">
        <v>35.542999999999999</v>
      </c>
      <c r="X161" s="48">
        <v>14.733000000000001</v>
      </c>
      <c r="Y161" s="123">
        <f>Z161+AA161</f>
        <v>44.359000000000002</v>
      </c>
      <c r="Z161" s="108">
        <v>29.260999999999999</v>
      </c>
      <c r="AA161" s="108">
        <v>15.098000000000001</v>
      </c>
      <c r="AB161" s="125">
        <f>AC161+AD161</f>
        <v>38.872999999999998</v>
      </c>
      <c r="AC161" s="106">
        <v>27.462</v>
      </c>
      <c r="AD161" s="106">
        <v>11.411</v>
      </c>
      <c r="AE161" s="127">
        <f>AB161/F161</f>
        <v>3.2394166666666666</v>
      </c>
    </row>
    <row r="162" spans="1:31" s="105" customFormat="1">
      <c r="A162" s="97">
        <f t="shared" si="2"/>
        <v>156</v>
      </c>
      <c r="B162" s="98" t="s">
        <v>78</v>
      </c>
      <c r="C162" s="98" t="s">
        <v>55</v>
      </c>
      <c r="D162" s="99">
        <v>10</v>
      </c>
      <c r="E162" s="99" t="s">
        <v>21</v>
      </c>
      <c r="F162" s="100">
        <f>[3]МКД!$H$74</f>
        <v>8</v>
      </c>
      <c r="G162" s="101">
        <f>H162+I162</f>
        <v>113.91</v>
      </c>
      <c r="H162" s="110">
        <f>19.62+27.56</f>
        <v>47.18</v>
      </c>
      <c r="I162" s="110">
        <f>3.34+63.39</f>
        <v>66.73</v>
      </c>
      <c r="J162" s="101">
        <f>K162+L162</f>
        <v>134.36000000000001</v>
      </c>
      <c r="K162" s="110">
        <f>19.62+34.54</f>
        <v>54.16</v>
      </c>
      <c r="L162" s="110">
        <f>3.34+76.86</f>
        <v>80.2</v>
      </c>
      <c r="M162" s="101">
        <f>N162+O162</f>
        <v>133.35000000000002</v>
      </c>
      <c r="N162" s="110">
        <f>19.62+40.14</f>
        <v>59.760000000000005</v>
      </c>
      <c r="O162" s="110">
        <f>3.34+70.25</f>
        <v>73.59</v>
      </c>
      <c r="P162" s="101">
        <f>Q162+R162</f>
        <v>72.39</v>
      </c>
      <c r="Q162" s="128">
        <f>21.365+20.93</f>
        <v>42.295000000000002</v>
      </c>
      <c r="R162" s="128">
        <f>5.685+24.41</f>
        <v>30.094999999999999</v>
      </c>
      <c r="S162" s="48">
        <f>T162+U162</f>
        <v>28.81</v>
      </c>
      <c r="T162" s="48">
        <v>31.68</v>
      </c>
      <c r="U162" s="48">
        <v>-2.87</v>
      </c>
      <c r="V162" s="48">
        <f>W162+X162</f>
        <v>38.307000000000002</v>
      </c>
      <c r="W162" s="48">
        <v>38.445</v>
      </c>
      <c r="X162" s="48">
        <v>-0.13800000000000001</v>
      </c>
      <c r="Y162" s="123">
        <f>Z162+AA162</f>
        <v>38.222000000000001</v>
      </c>
      <c r="Z162" s="108">
        <v>38.222000000000001</v>
      </c>
      <c r="AA162" s="108">
        <v>0</v>
      </c>
      <c r="AB162" s="125">
        <f>AC162+AD162</f>
        <v>25.744999999999997</v>
      </c>
      <c r="AC162" s="106">
        <v>37.890999999999998</v>
      </c>
      <c r="AD162" s="106">
        <v>-12.146000000000001</v>
      </c>
      <c r="AE162" s="127">
        <f>AB162/F162</f>
        <v>3.2181249999999997</v>
      </c>
    </row>
    <row r="163" spans="1:31" s="105" customFormat="1">
      <c r="A163" s="97">
        <f t="shared" si="2"/>
        <v>157</v>
      </c>
      <c r="B163" s="98" t="s">
        <v>78</v>
      </c>
      <c r="C163" s="98" t="s">
        <v>94</v>
      </c>
      <c r="D163" s="99">
        <v>7</v>
      </c>
      <c r="E163" s="99"/>
      <c r="F163" s="100">
        <f>[3]МКД!$H$136</f>
        <v>12</v>
      </c>
      <c r="G163" s="101">
        <f>H163+I163</f>
        <v>32.128050000000002</v>
      </c>
      <c r="H163" s="110">
        <f>23460.2/1000</f>
        <v>23.4602</v>
      </c>
      <c r="I163" s="110">
        <f>8667.85/1000</f>
        <v>8.6678499999999996</v>
      </c>
      <c r="J163" s="101">
        <f>K163+L163</f>
        <v>78.304940000000002</v>
      </c>
      <c r="K163" s="110">
        <f>51634.85/1000</f>
        <v>51.63485</v>
      </c>
      <c r="L163" s="110">
        <f>26670.09/1000</f>
        <v>26.670090000000002</v>
      </c>
      <c r="M163" s="101">
        <f>N163+O163</f>
        <v>87.367170000000002</v>
      </c>
      <c r="N163" s="110">
        <f>57726.01/1000</f>
        <v>57.726010000000002</v>
      </c>
      <c r="O163" s="110">
        <f>29641.16/1000</f>
        <v>29.641159999999999</v>
      </c>
      <c r="P163" s="101">
        <f>Q163+R163</f>
        <v>85.915999999999997</v>
      </c>
      <c r="Q163" s="127">
        <v>51.290999999999997</v>
      </c>
      <c r="R163" s="127">
        <v>34.625</v>
      </c>
      <c r="S163" s="48">
        <f>T163+U163</f>
        <v>89.89</v>
      </c>
      <c r="T163" s="48">
        <v>57.07</v>
      </c>
      <c r="U163" s="48">
        <v>32.82</v>
      </c>
      <c r="V163" s="48">
        <f>W163+X163</f>
        <v>80.515000000000001</v>
      </c>
      <c r="W163" s="48">
        <v>50.564999999999998</v>
      </c>
      <c r="X163" s="48">
        <v>29.95</v>
      </c>
      <c r="Y163" s="123">
        <f>Z163+AA163</f>
        <v>52.771000000000001</v>
      </c>
      <c r="Z163" s="108">
        <v>24.001999999999999</v>
      </c>
      <c r="AA163" s="108">
        <v>28.768999999999998</v>
      </c>
      <c r="AB163" s="125">
        <f>AC163+AD163</f>
        <v>38.135000000000005</v>
      </c>
      <c r="AC163" s="106">
        <v>22.719000000000001</v>
      </c>
      <c r="AD163" s="106">
        <v>15.416</v>
      </c>
      <c r="AE163" s="127">
        <f>AB163/F163</f>
        <v>3.1779166666666669</v>
      </c>
    </row>
    <row r="164" spans="1:31" s="105" customFormat="1">
      <c r="A164" s="97">
        <f t="shared" si="2"/>
        <v>158</v>
      </c>
      <c r="B164" s="98" t="s">
        <v>78</v>
      </c>
      <c r="C164" s="98" t="s">
        <v>37</v>
      </c>
      <c r="D164" s="99">
        <v>9</v>
      </c>
      <c r="E164" s="99"/>
      <c r="F164" s="100">
        <f>[3]МКД!$H$78</f>
        <v>12</v>
      </c>
      <c r="G164" s="101">
        <f>H164+I164</f>
        <v>126.39240000000001</v>
      </c>
      <c r="H164" s="110">
        <f>86770.51/1000</f>
        <v>86.770510000000002</v>
      </c>
      <c r="I164" s="110">
        <f>39621.89/1000</f>
        <v>39.62189</v>
      </c>
      <c r="J164" s="101">
        <f>K164+L164</f>
        <v>88.368599999999986</v>
      </c>
      <c r="K164" s="110">
        <f>73309.93/1000</f>
        <v>73.309929999999994</v>
      </c>
      <c r="L164" s="110">
        <f>15058.67/1000</f>
        <v>15.058669999999999</v>
      </c>
      <c r="M164" s="101">
        <f>N164+O164</f>
        <v>93.45304999999999</v>
      </c>
      <c r="N164" s="110">
        <f>73896.93/1000</f>
        <v>73.896929999999998</v>
      </c>
      <c r="O164" s="110">
        <f>19556.12/1000</f>
        <v>19.55612</v>
      </c>
      <c r="P164" s="101">
        <f>Q164+R164</f>
        <v>59.007999999999996</v>
      </c>
      <c r="Q164" s="127">
        <v>30.411999999999999</v>
      </c>
      <c r="R164" s="127">
        <v>28.596</v>
      </c>
      <c r="S164" s="48">
        <f>T164+U164</f>
        <v>88.07</v>
      </c>
      <c r="T164" s="48">
        <v>74.239999999999995</v>
      </c>
      <c r="U164" s="48">
        <v>13.83</v>
      </c>
      <c r="V164" s="48">
        <f>W164+X164</f>
        <v>81.106999999999999</v>
      </c>
      <c r="W164" s="48">
        <v>60.570999999999998</v>
      </c>
      <c r="X164" s="48">
        <v>20.536000000000001</v>
      </c>
      <c r="Y164" s="123">
        <f>Z164+AA164</f>
        <v>90.278999999999996</v>
      </c>
      <c r="Z164" s="108">
        <v>68.584999999999994</v>
      </c>
      <c r="AA164" s="108">
        <v>21.693999999999999</v>
      </c>
      <c r="AB164" s="125">
        <f>AC164+AD164</f>
        <v>32.707999999999998</v>
      </c>
      <c r="AC164" s="106">
        <v>25.181000000000001</v>
      </c>
      <c r="AD164" s="106">
        <v>7.5270000000000001</v>
      </c>
      <c r="AE164" s="127">
        <f>AB164/F164</f>
        <v>2.7256666666666667</v>
      </c>
    </row>
    <row r="165" spans="1:31" s="105" customFormat="1">
      <c r="A165" s="97">
        <f t="shared" si="2"/>
        <v>159</v>
      </c>
      <c r="B165" s="98" t="s">
        <v>78</v>
      </c>
      <c r="C165" s="98" t="s">
        <v>90</v>
      </c>
      <c r="D165" s="99">
        <v>5</v>
      </c>
      <c r="E165" s="99"/>
      <c r="F165" s="100">
        <f>[3]МКД!$H$104</f>
        <v>12</v>
      </c>
      <c r="G165" s="101">
        <f>H165+I165</f>
        <v>53.765740000000001</v>
      </c>
      <c r="H165" s="110">
        <f>37985.12/1000</f>
        <v>37.985120000000002</v>
      </c>
      <c r="I165" s="110">
        <f>15780.62/1000</f>
        <v>15.780620000000001</v>
      </c>
      <c r="J165" s="101">
        <f>K165+L165</f>
        <v>30.441879999999998</v>
      </c>
      <c r="K165" s="110">
        <f>22043.21/1000</f>
        <v>22.043209999999998</v>
      </c>
      <c r="L165" s="110">
        <f>8398.67/1000</f>
        <v>8.3986699999999992</v>
      </c>
      <c r="M165" s="101">
        <f>N165+O165</f>
        <v>36.568260000000002</v>
      </c>
      <c r="N165" s="110">
        <f>25235.83/1000</f>
        <v>25.23583</v>
      </c>
      <c r="O165" s="110">
        <f>11332.43/1000</f>
        <v>11.33243</v>
      </c>
      <c r="P165" s="101">
        <f>Q165+R165</f>
        <v>32.393000000000001</v>
      </c>
      <c r="Q165" s="127">
        <v>22.898</v>
      </c>
      <c r="R165" s="127">
        <v>9.4949999999999992</v>
      </c>
      <c r="S165" s="48">
        <f>T165+U165</f>
        <v>34.03</v>
      </c>
      <c r="T165" s="48">
        <v>23.74</v>
      </c>
      <c r="U165" s="48">
        <v>10.29</v>
      </c>
      <c r="V165" s="48">
        <f>W165+X165</f>
        <v>30.138999999999999</v>
      </c>
      <c r="W165" s="48">
        <v>23.451000000000001</v>
      </c>
      <c r="X165" s="48">
        <v>6.6879999999999997</v>
      </c>
      <c r="Y165" s="123">
        <f>Z165+AA165</f>
        <v>27.238</v>
      </c>
      <c r="Z165" s="108">
        <v>20.55</v>
      </c>
      <c r="AA165" s="108">
        <v>6.6879999999999997</v>
      </c>
      <c r="AB165" s="125">
        <f>AC165+AD165</f>
        <v>29.360999999999997</v>
      </c>
      <c r="AC165" s="125">
        <v>19.181999999999999</v>
      </c>
      <c r="AD165" s="106">
        <v>10.179</v>
      </c>
      <c r="AE165" s="127">
        <f>AB165/F165</f>
        <v>2.4467499999999998</v>
      </c>
    </row>
    <row r="166" spans="1:31" s="105" customFormat="1">
      <c r="A166" s="97">
        <f t="shared" si="2"/>
        <v>160</v>
      </c>
      <c r="B166" s="98" t="s">
        <v>78</v>
      </c>
      <c r="C166" s="98" t="s">
        <v>92</v>
      </c>
      <c r="D166" s="99">
        <v>4</v>
      </c>
      <c r="E166" s="99"/>
      <c r="F166" s="100">
        <f>[3]МКД!$H$127</f>
        <v>8</v>
      </c>
      <c r="G166" s="101">
        <f>H166+I166</f>
        <v>15.358000000000001</v>
      </c>
      <c r="H166" s="110">
        <f>15060.54/1000</f>
        <v>15.060540000000001</v>
      </c>
      <c r="I166" s="110">
        <f>297.46/1000</f>
        <v>0.29746</v>
      </c>
      <c r="J166" s="101">
        <f>K166+L166</f>
        <v>18.392749999999999</v>
      </c>
      <c r="K166" s="110">
        <f>17893.03/1000</f>
        <v>17.89303</v>
      </c>
      <c r="L166" s="110">
        <f>499.72/1000</f>
        <v>0.49972000000000005</v>
      </c>
      <c r="M166" s="101">
        <f>N166+O166</f>
        <v>18.28023</v>
      </c>
      <c r="N166" s="110">
        <f>17890.84/1000</f>
        <v>17.890840000000001</v>
      </c>
      <c r="O166" s="110">
        <f>389.39/1000</f>
        <v>0.38939000000000001</v>
      </c>
      <c r="P166" s="101">
        <f>Q166+R166</f>
        <v>20.8</v>
      </c>
      <c r="Q166" s="127">
        <v>17.731000000000002</v>
      </c>
      <c r="R166" s="127">
        <v>3.069</v>
      </c>
      <c r="S166" s="48">
        <f>T166+U166</f>
        <v>24.099999999999998</v>
      </c>
      <c r="T166" s="48">
        <v>23.65</v>
      </c>
      <c r="U166" s="48">
        <v>0.45</v>
      </c>
      <c r="V166" s="48">
        <f>W166+X166</f>
        <v>24.036000000000001</v>
      </c>
      <c r="W166" s="48">
        <v>23.507000000000001</v>
      </c>
      <c r="X166" s="48">
        <v>0.52900000000000003</v>
      </c>
      <c r="Y166" s="123">
        <f>Z166+AA166</f>
        <v>27.068999999999999</v>
      </c>
      <c r="Z166" s="108">
        <v>26.433</v>
      </c>
      <c r="AA166" s="108">
        <v>0.63600000000000001</v>
      </c>
      <c r="AB166" s="125">
        <f>AC166+AD166</f>
        <v>17.721999999999998</v>
      </c>
      <c r="AC166" s="106">
        <v>17.562999999999999</v>
      </c>
      <c r="AD166" s="106">
        <v>0.159</v>
      </c>
      <c r="AE166" s="127">
        <f>AB166/F166</f>
        <v>2.2152499999999997</v>
      </c>
    </row>
    <row r="167" spans="1:31" s="105" customFormat="1">
      <c r="A167" s="97">
        <f t="shared" si="2"/>
        <v>161</v>
      </c>
      <c r="B167" s="98" t="s">
        <v>78</v>
      </c>
      <c r="C167" s="98" t="s">
        <v>92</v>
      </c>
      <c r="D167" s="99">
        <v>9</v>
      </c>
      <c r="E167" s="99"/>
      <c r="F167" s="100">
        <f>[3]МКД!$H$131</f>
        <v>12</v>
      </c>
      <c r="G167" s="101">
        <f>H167+I167</f>
        <v>33.860840000000003</v>
      </c>
      <c r="H167" s="110">
        <f>33130.51/1000</f>
        <v>33.130510000000001</v>
      </c>
      <c r="I167" s="110">
        <f>730.33/1000</f>
        <v>0.73033000000000003</v>
      </c>
      <c r="J167" s="101">
        <f>K167+L167</f>
        <v>47.067189999999997</v>
      </c>
      <c r="K167" s="110">
        <f>45895.84/1000</f>
        <v>45.89584</v>
      </c>
      <c r="L167" s="110">
        <f>1171.35/1000</f>
        <v>1.1713499999999999</v>
      </c>
      <c r="M167" s="101">
        <f>N167+O167</f>
        <v>44.345330000000004</v>
      </c>
      <c r="N167" s="110">
        <f>43375.44/1000</f>
        <v>43.375440000000005</v>
      </c>
      <c r="O167" s="110">
        <f>969.89/1000</f>
        <v>0.96989000000000003</v>
      </c>
      <c r="P167" s="101">
        <f>Q167+R167</f>
        <v>22.414000000000001</v>
      </c>
      <c r="Q167" s="127">
        <v>16.673999999999999</v>
      </c>
      <c r="R167" s="127">
        <v>5.74</v>
      </c>
      <c r="S167" s="48">
        <f>T167+U167</f>
        <v>23.85</v>
      </c>
      <c r="T167" s="48">
        <v>24.43</v>
      </c>
      <c r="U167" s="48">
        <v>-0.57999999999999996</v>
      </c>
      <c r="V167" s="48">
        <f>W167+X167</f>
        <v>23.061999999999998</v>
      </c>
      <c r="W167" s="48">
        <v>23.556999999999999</v>
      </c>
      <c r="X167" s="48">
        <v>-0.495</v>
      </c>
      <c r="Y167" s="123">
        <f>Z167+AA167</f>
        <v>23.925000000000001</v>
      </c>
      <c r="Z167" s="108">
        <v>23.925000000000001</v>
      </c>
      <c r="AA167" s="108">
        <v>0</v>
      </c>
      <c r="AB167" s="125">
        <f>AC167+AD167</f>
        <v>21.262</v>
      </c>
      <c r="AC167" s="106">
        <v>21.963000000000001</v>
      </c>
      <c r="AD167" s="106">
        <v>-0.70099999999999996</v>
      </c>
      <c r="AE167" s="127">
        <f>AB167/F167</f>
        <v>1.7718333333333334</v>
      </c>
    </row>
    <row r="168" spans="1:31" s="105" customFormat="1">
      <c r="A168" s="97">
        <f t="shared" si="2"/>
        <v>162</v>
      </c>
      <c r="B168" s="98" t="s">
        <v>78</v>
      </c>
      <c r="C168" s="98" t="s">
        <v>88</v>
      </c>
      <c r="D168" s="99">
        <v>11</v>
      </c>
      <c r="E168" s="99"/>
      <c r="F168" s="100">
        <f>[2]МКД!$H$67</f>
        <v>12</v>
      </c>
      <c r="G168" s="101">
        <f>H168+I168</f>
        <v>32.388480000000001</v>
      </c>
      <c r="H168" s="110">
        <f>31976.88/1000</f>
        <v>31.976880000000001</v>
      </c>
      <c r="I168" s="110">
        <f>411.6/1000</f>
        <v>0.41160000000000002</v>
      </c>
      <c r="J168" s="101">
        <f>K168+L168</f>
        <v>38.878939999999993</v>
      </c>
      <c r="K168" s="110">
        <f>38500.57/1000</f>
        <v>38.500569999999996</v>
      </c>
      <c r="L168" s="110">
        <f>378.37/1000</f>
        <v>0.37836999999999998</v>
      </c>
      <c r="M168" s="101">
        <f>N168+O168</f>
        <v>38.072280000000006</v>
      </c>
      <c r="N168" s="110">
        <f>37614.58/1000</f>
        <v>37.614580000000004</v>
      </c>
      <c r="O168" s="110">
        <f>457.7/1000</f>
        <v>0.4577</v>
      </c>
      <c r="P168" s="101">
        <f>Q168+R168</f>
        <v>30.423000000000002</v>
      </c>
      <c r="Q168" s="127">
        <v>17.599</v>
      </c>
      <c r="R168" s="127">
        <v>12.824</v>
      </c>
      <c r="S168" s="48">
        <f>T168+U168</f>
        <v>38.489999999999995</v>
      </c>
      <c r="T168" s="48">
        <v>38.76</v>
      </c>
      <c r="U168" s="48">
        <v>-0.27</v>
      </c>
      <c r="V168" s="48">
        <f>W168+X168</f>
        <v>28.200000000000003</v>
      </c>
      <c r="W168" s="48">
        <v>28.542000000000002</v>
      </c>
      <c r="X168" s="48">
        <v>-0.34200000000000003</v>
      </c>
      <c r="Y168" s="123">
        <f>Z168+AA168</f>
        <v>41.64</v>
      </c>
      <c r="Z168" s="124">
        <v>41.64</v>
      </c>
      <c r="AA168" s="124">
        <v>0</v>
      </c>
      <c r="AB168" s="125">
        <f>AC168+AD168</f>
        <v>20.932000000000002</v>
      </c>
      <c r="AC168" s="106">
        <v>21.638000000000002</v>
      </c>
      <c r="AD168" s="106">
        <v>-0.70599999999999996</v>
      </c>
      <c r="AE168" s="127">
        <f>AB168/F168</f>
        <v>1.7443333333333335</v>
      </c>
    </row>
    <row r="169" spans="1:31" s="105" customFormat="1">
      <c r="A169" s="97">
        <f t="shared" si="2"/>
        <v>163</v>
      </c>
      <c r="B169" s="98" t="s">
        <v>78</v>
      </c>
      <c r="C169" s="98" t="s">
        <v>88</v>
      </c>
      <c r="D169" s="99">
        <v>7</v>
      </c>
      <c r="E169" s="99"/>
      <c r="F169" s="100">
        <f>[1]МКД!$H$382</f>
        <v>12</v>
      </c>
      <c r="G169" s="101">
        <f>H169+I169</f>
        <v>15.500530000000001</v>
      </c>
      <c r="H169" s="110">
        <f>15500.53/1000</f>
        <v>15.500530000000001</v>
      </c>
      <c r="I169" s="110">
        <v>0</v>
      </c>
      <c r="J169" s="101">
        <f>K169+L169</f>
        <v>31.151400000000002</v>
      </c>
      <c r="K169" s="110">
        <f>31151.4/1000</f>
        <v>31.151400000000002</v>
      </c>
      <c r="L169" s="110">
        <v>0</v>
      </c>
      <c r="M169" s="101">
        <f>N169+O169</f>
        <v>29.556909999999998</v>
      </c>
      <c r="N169" s="110">
        <f>29556.91/1000</f>
        <v>29.556909999999998</v>
      </c>
      <c r="O169" s="110">
        <v>0</v>
      </c>
      <c r="P169" s="101">
        <f>Q169+R169</f>
        <v>23.677</v>
      </c>
      <c r="Q169" s="127">
        <v>12.074</v>
      </c>
      <c r="R169" s="127">
        <v>11.603</v>
      </c>
      <c r="S169" s="48">
        <f>T169+U169</f>
        <v>25.14</v>
      </c>
      <c r="T169" s="48">
        <v>25.14</v>
      </c>
      <c r="U169" s="48">
        <v>0</v>
      </c>
      <c r="V169" s="48">
        <f>W169+X169</f>
        <v>20.59</v>
      </c>
      <c r="W169" s="48">
        <v>20.59</v>
      </c>
      <c r="X169" s="48">
        <v>0</v>
      </c>
      <c r="Y169" s="123">
        <f>Z169+AA169</f>
        <v>20.053000000000001</v>
      </c>
      <c r="Z169" s="124">
        <v>20.053000000000001</v>
      </c>
      <c r="AA169" s="124">
        <v>0</v>
      </c>
      <c r="AB169" s="125">
        <f>AC169+AD169</f>
        <v>19.599</v>
      </c>
      <c r="AC169" s="106">
        <v>19.599</v>
      </c>
      <c r="AD169" s="106">
        <v>0</v>
      </c>
      <c r="AE169" s="127">
        <f>AB169/F169</f>
        <v>1.6332500000000001</v>
      </c>
    </row>
    <row r="170" spans="1:31" s="105" customFormat="1">
      <c r="A170" s="97">
        <f t="shared" si="2"/>
        <v>164</v>
      </c>
      <c r="B170" s="98" t="s">
        <v>78</v>
      </c>
      <c r="C170" s="98" t="s">
        <v>38</v>
      </c>
      <c r="D170" s="99">
        <v>26</v>
      </c>
      <c r="E170" s="99" t="s">
        <v>20</v>
      </c>
      <c r="F170" s="100">
        <f>[3]МКД!$H$101</f>
        <v>12</v>
      </c>
      <c r="G170" s="101">
        <f>H170+I170</f>
        <v>78.663029999999992</v>
      </c>
      <c r="H170" s="110">
        <f>64269.02/1000</f>
        <v>64.269019999999998</v>
      </c>
      <c r="I170" s="110">
        <f>14394.01/1000</f>
        <v>14.39401</v>
      </c>
      <c r="J170" s="101">
        <f>K170+L170</f>
        <v>44.844120000000004</v>
      </c>
      <c r="K170" s="110">
        <f>40182.66/1000</f>
        <v>40.182660000000006</v>
      </c>
      <c r="L170" s="110">
        <f>4661.46/1000</f>
        <v>4.6614599999999999</v>
      </c>
      <c r="M170" s="101">
        <f>N170+O170</f>
        <v>49.124310000000001</v>
      </c>
      <c r="N170" s="110">
        <f>43544.59/1000</f>
        <v>43.544589999999999</v>
      </c>
      <c r="O170" s="110">
        <f>5579.72/1000</f>
        <v>5.57972</v>
      </c>
      <c r="P170" s="101">
        <f>Q170+R170</f>
        <v>68.739999999999995</v>
      </c>
      <c r="Q170" s="127">
        <v>37.292999999999999</v>
      </c>
      <c r="R170" s="127">
        <v>31.446999999999999</v>
      </c>
      <c r="S170" s="48">
        <f>T170+U170</f>
        <v>4.379999999999999</v>
      </c>
      <c r="T170" s="48">
        <v>22.77</v>
      </c>
      <c r="U170" s="48">
        <v>-18.39</v>
      </c>
      <c r="V170" s="48">
        <f>W170+X170</f>
        <v>8.7799999999999976</v>
      </c>
      <c r="W170" s="48">
        <v>24.902999999999999</v>
      </c>
      <c r="X170" s="48">
        <v>-16.123000000000001</v>
      </c>
      <c r="Y170" s="123">
        <f>Z170+AA170</f>
        <v>23.972000000000001</v>
      </c>
      <c r="Z170" s="108">
        <v>23.972000000000001</v>
      </c>
      <c r="AA170" s="108">
        <v>0</v>
      </c>
      <c r="AB170" s="125">
        <f>AC170+AD170</f>
        <v>9.9740000000000002</v>
      </c>
      <c r="AC170" s="106">
        <v>23.363</v>
      </c>
      <c r="AD170" s="106">
        <v>-13.388999999999999</v>
      </c>
      <c r="AE170" s="127">
        <f>AB170/F170</f>
        <v>0.83116666666666672</v>
      </c>
    </row>
    <row r="171" spans="1:31" s="105" customFormat="1">
      <c r="A171" s="97">
        <f t="shared" si="2"/>
        <v>165</v>
      </c>
      <c r="B171" s="98" t="s">
        <v>78</v>
      </c>
      <c r="C171" s="98" t="s">
        <v>81</v>
      </c>
      <c r="D171" s="99">
        <v>75</v>
      </c>
      <c r="E171" s="99"/>
      <c r="F171" s="100">
        <f>[2]МКД!$H$23</f>
        <v>2</v>
      </c>
      <c r="G171" s="101">
        <f>H171+I171</f>
        <v>2.7116500000000001</v>
      </c>
      <c r="H171" s="110">
        <f>2665.02/1000</f>
        <v>2.6650200000000002</v>
      </c>
      <c r="I171" s="110">
        <f>46.63/1000</f>
        <v>4.6630000000000005E-2</v>
      </c>
      <c r="J171" s="101">
        <f>K171+L171</f>
        <v>2.7271900000000002</v>
      </c>
      <c r="K171" s="110">
        <f>2665.02/1000</f>
        <v>2.6650200000000002</v>
      </c>
      <c r="L171" s="110">
        <f>62.17/1000</f>
        <v>6.2170000000000003E-2</v>
      </c>
      <c r="M171" s="101">
        <f>N171+O171</f>
        <v>2.7296200000000002</v>
      </c>
      <c r="N171" s="110">
        <f>2665.02/1000</f>
        <v>2.6650200000000002</v>
      </c>
      <c r="O171" s="110">
        <f>64.6/1000</f>
        <v>6.4599999999999991E-2</v>
      </c>
      <c r="P171" s="101">
        <f>Q171+R171</f>
        <v>2.7290000000000001</v>
      </c>
      <c r="Q171" s="127">
        <v>2.665</v>
      </c>
      <c r="R171" s="127">
        <v>6.4000000000000001E-2</v>
      </c>
      <c r="S171" s="48">
        <f>T171+U171</f>
        <v>2.73</v>
      </c>
      <c r="T171" s="48">
        <v>2.67</v>
      </c>
      <c r="U171" s="48">
        <v>0.06</v>
      </c>
      <c r="V171" s="48">
        <f>W171+X171</f>
        <v>2.7290000000000001</v>
      </c>
      <c r="W171" s="48">
        <v>2.665</v>
      </c>
      <c r="X171" s="48">
        <v>6.4000000000000001E-2</v>
      </c>
      <c r="Y171" s="123">
        <f>Z171+AA171</f>
        <v>2.7290000000000001</v>
      </c>
      <c r="Z171" s="124">
        <v>2.665</v>
      </c>
      <c r="AA171" s="124">
        <v>6.4000000000000001E-2</v>
      </c>
      <c r="AB171" s="125">
        <f>AC171+AD171</f>
        <v>1.448</v>
      </c>
      <c r="AC171" s="125">
        <v>1.4</v>
      </c>
      <c r="AD171" s="126">
        <v>4.8000000000000001E-2</v>
      </c>
      <c r="AE171" s="127">
        <f>AB171/F171</f>
        <v>0.72399999999999998</v>
      </c>
    </row>
    <row r="172" spans="1:31" s="105" customFormat="1">
      <c r="A172" s="97">
        <f t="shared" si="2"/>
        <v>166</v>
      </c>
      <c r="B172" s="98" t="s">
        <v>78</v>
      </c>
      <c r="C172" s="98" t="s">
        <v>81</v>
      </c>
      <c r="D172" s="99">
        <v>47</v>
      </c>
      <c r="E172" s="99" t="s">
        <v>20</v>
      </c>
      <c r="F172" s="100">
        <f>[2]МКД!$H$19</f>
        <v>12</v>
      </c>
      <c r="G172" s="101">
        <f>H172+I172</f>
        <v>43.627699999999997</v>
      </c>
      <c r="H172" s="110">
        <f>38755.56/1000</f>
        <v>38.755559999999996</v>
      </c>
      <c r="I172" s="110">
        <f>4872.14/1000</f>
        <v>4.8721399999999999</v>
      </c>
      <c r="J172" s="101">
        <f>K172+L172</f>
        <v>39.569720000000004</v>
      </c>
      <c r="K172" s="110">
        <f>35950.83/1000</f>
        <v>35.950830000000003</v>
      </c>
      <c r="L172" s="110">
        <f>3618.89/1000</f>
        <v>3.6188899999999999</v>
      </c>
      <c r="M172" s="101">
        <f>N172+O172</f>
        <v>41.872059999999998</v>
      </c>
      <c r="N172" s="110">
        <f>37254.42/1000</f>
        <v>37.254419999999996</v>
      </c>
      <c r="O172" s="110">
        <f>4617.64/1000</f>
        <v>4.6176400000000006</v>
      </c>
      <c r="P172" s="101">
        <f>Q172+R172</f>
        <v>47.106999999999999</v>
      </c>
      <c r="Q172" s="127">
        <v>30.329000000000001</v>
      </c>
      <c r="R172" s="127">
        <v>16.777999999999999</v>
      </c>
      <c r="S172" s="48">
        <f>T172+U172</f>
        <v>45.39</v>
      </c>
      <c r="T172" s="48">
        <v>32.17</v>
      </c>
      <c r="U172" s="48">
        <v>13.22</v>
      </c>
      <c r="V172" s="48">
        <f>W172+X172</f>
        <v>48.965000000000003</v>
      </c>
      <c r="W172" s="48">
        <v>31.94</v>
      </c>
      <c r="X172" s="48">
        <v>17.024999999999999</v>
      </c>
      <c r="Y172" s="123">
        <f>Z172+AA172</f>
        <v>194.61699999999999</v>
      </c>
      <c r="Z172" s="124">
        <v>35.213000000000001</v>
      </c>
      <c r="AA172" s="124">
        <v>159.404</v>
      </c>
      <c r="AB172" s="125">
        <f>AC172+AD172</f>
        <v>7.5826999999999991</v>
      </c>
      <c r="AC172" s="106">
        <v>22.614999999999998</v>
      </c>
      <c r="AD172" s="126">
        <v>-15.032299999999999</v>
      </c>
      <c r="AE172" s="127">
        <f>AB172/F172</f>
        <v>0.63189166666666663</v>
      </c>
    </row>
    <row r="173" spans="1:31" s="93" customFormat="1">
      <c r="A173" s="49"/>
      <c r="B173" s="114" t="s">
        <v>8</v>
      </c>
      <c r="C173" s="49"/>
      <c r="D173" s="49"/>
      <c r="E173" s="49"/>
      <c r="F173" s="73">
        <f>SUM(F7:F172)</f>
        <v>2335</v>
      </c>
      <c r="G173" s="74">
        <f>SUM(G7:G172)</f>
        <v>41494.135980000021</v>
      </c>
      <c r="H173" s="74">
        <f>SUM(H7:H172)</f>
        <v>19834.139839999993</v>
      </c>
      <c r="I173" s="74">
        <f>SUM(I7:I172)</f>
        <v>21659.99614000001</v>
      </c>
      <c r="J173" s="74">
        <f>SUM(J7:J172)</f>
        <v>49157.891150000003</v>
      </c>
      <c r="K173" s="74">
        <f>SUM(K7:K172)</f>
        <v>23434.217889999996</v>
      </c>
      <c r="L173" s="74">
        <f>SUM(L7:L172)</f>
        <v>25723.673260000007</v>
      </c>
      <c r="M173" s="74">
        <f>SUM(M7:M172)</f>
        <v>51270.432609999974</v>
      </c>
      <c r="N173" s="74">
        <f>SUM(N7:N172)</f>
        <v>24000.840109999986</v>
      </c>
      <c r="O173" s="74">
        <f>SUM(O7:O172)</f>
        <v>27269.592500000017</v>
      </c>
      <c r="P173" s="50">
        <f>SUM(P7:P172)</f>
        <v>49869.620999999992</v>
      </c>
      <c r="Q173" s="50">
        <f>SUM(Q7:Q172)</f>
        <v>21993.298000000013</v>
      </c>
      <c r="R173" s="50">
        <f>SUM(R7:R172)</f>
        <v>27876.322999999997</v>
      </c>
      <c r="S173" s="50">
        <f>SUM(S7:S172)</f>
        <v>51555.428999999975</v>
      </c>
      <c r="T173" s="50">
        <f>SUM(T7:T172)</f>
        <v>22770.479000000003</v>
      </c>
      <c r="U173" s="50">
        <f>SUM(U7:U172)</f>
        <v>28784.950000000008</v>
      </c>
      <c r="V173" s="50">
        <f>SUM(V7:V172)</f>
        <v>52199.906999999992</v>
      </c>
      <c r="W173" s="50">
        <f>SUM(W7:W172)</f>
        <v>22863.909</v>
      </c>
      <c r="X173" s="50">
        <f>SUM(X7:X172)</f>
        <v>29335.998000000036</v>
      </c>
      <c r="Y173" s="50">
        <f>SUM(Y7:Y172)</f>
        <v>52975.069299999988</v>
      </c>
      <c r="Z173" s="50">
        <f>SUM(Z7:Z172)</f>
        <v>23062.970299999997</v>
      </c>
      <c r="AA173" s="50">
        <f>SUM(AA7:AA172)</f>
        <v>29912.098999999995</v>
      </c>
      <c r="AB173" s="50">
        <f>SUM(AB7:AB172)</f>
        <v>51619.208700000017</v>
      </c>
      <c r="AC173" s="50">
        <f>SUM(AC7:AC172)</f>
        <v>21651.098999999977</v>
      </c>
      <c r="AD173" s="50">
        <f>SUM(AD7:AD172)</f>
        <v>29968.109700000015</v>
      </c>
      <c r="AE173" s="50"/>
    </row>
    <row r="174" spans="1:31" s="105" customFormat="1">
      <c r="A174" s="306" t="s">
        <v>120</v>
      </c>
      <c r="B174" s="306"/>
      <c r="C174" s="306"/>
      <c r="D174" s="306"/>
      <c r="E174" s="306"/>
      <c r="F174" s="306"/>
      <c r="G174" s="306"/>
      <c r="H174" s="306"/>
      <c r="I174" s="306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</row>
    <row r="175" spans="1:31" s="105" customFormat="1">
      <c r="A175" s="97">
        <v>1</v>
      </c>
      <c r="B175" s="98" t="s">
        <v>78</v>
      </c>
      <c r="C175" s="98" t="s">
        <v>81</v>
      </c>
      <c r="D175" s="99">
        <v>44</v>
      </c>
      <c r="E175" s="99"/>
      <c r="F175" s="100">
        <v>33</v>
      </c>
      <c r="G175" s="101"/>
      <c r="H175" s="110"/>
      <c r="I175" s="110"/>
      <c r="J175" s="101"/>
      <c r="K175" s="110"/>
      <c r="L175" s="110"/>
      <c r="M175" s="101"/>
      <c r="N175" s="110"/>
      <c r="O175" s="110"/>
      <c r="P175" s="101"/>
      <c r="Q175" s="127"/>
      <c r="R175" s="127"/>
      <c r="S175" s="48">
        <f>T175+U175</f>
        <v>2.87</v>
      </c>
      <c r="T175" s="48">
        <v>2.87</v>
      </c>
      <c r="U175" s="48">
        <v>0</v>
      </c>
      <c r="V175" s="48">
        <f t="shared" ref="V175:V211" si="3">W175+X175</f>
        <v>2.8690000000000002</v>
      </c>
      <c r="W175" s="48">
        <v>2.8690000000000002</v>
      </c>
      <c r="X175" s="48">
        <v>0</v>
      </c>
      <c r="Y175" s="123">
        <f t="shared" ref="Y175:Y185" si="4">Z175+AA175</f>
        <v>16.071999999999999</v>
      </c>
      <c r="Z175" s="124">
        <v>2.8690000000000002</v>
      </c>
      <c r="AA175" s="124">
        <v>13.202999999999999</v>
      </c>
      <c r="AB175" s="125">
        <f t="shared" ref="AB175" si="5">AC175+AD175</f>
        <v>2.8690000000000002</v>
      </c>
      <c r="AC175" s="106">
        <v>2.8690000000000002</v>
      </c>
      <c r="AD175" s="126">
        <v>0</v>
      </c>
      <c r="AE175" s="127">
        <f>AB175/F175</f>
        <v>8.6939393939393941E-2</v>
      </c>
    </row>
    <row r="176" spans="1:31" s="105" customFormat="1">
      <c r="A176" s="97">
        <f>A175+1</f>
        <v>2</v>
      </c>
      <c r="B176" s="98" t="s">
        <v>78</v>
      </c>
      <c r="C176" s="98" t="s">
        <v>111</v>
      </c>
      <c r="D176" s="99">
        <v>17</v>
      </c>
      <c r="E176" s="99"/>
      <c r="F176" s="100">
        <v>12</v>
      </c>
      <c r="G176" s="101"/>
      <c r="H176" s="110"/>
      <c r="I176" s="110"/>
      <c r="J176" s="101"/>
      <c r="K176" s="110"/>
      <c r="L176" s="110"/>
      <c r="M176" s="101"/>
      <c r="N176" s="110"/>
      <c r="O176" s="110"/>
      <c r="P176" s="101"/>
      <c r="Q176" s="127"/>
      <c r="R176" s="127"/>
      <c r="S176" s="48">
        <f t="shared" ref="S176" si="6">T176+U176</f>
        <v>102.6</v>
      </c>
      <c r="T176" s="48">
        <v>101.03</v>
      </c>
      <c r="U176" s="48">
        <v>1.57</v>
      </c>
      <c r="V176" s="48">
        <f t="shared" si="3"/>
        <v>102.60599999999999</v>
      </c>
      <c r="W176" s="48">
        <v>101.032</v>
      </c>
      <c r="X176" s="48">
        <v>1.5740000000000001</v>
      </c>
      <c r="Y176" s="123">
        <f t="shared" si="4"/>
        <v>102.613</v>
      </c>
      <c r="Z176" s="124">
        <v>101.032</v>
      </c>
      <c r="AA176" s="124">
        <v>1.581</v>
      </c>
      <c r="AB176" s="125">
        <f t="shared" ref="AB176" si="7">AC176+AD176</f>
        <v>102.607</v>
      </c>
      <c r="AC176" s="106">
        <v>102.33499999999999</v>
      </c>
      <c r="AD176" s="106">
        <v>0.27200000000000002</v>
      </c>
      <c r="AE176" s="127">
        <f t="shared" ref="AE176:AE222" si="8">AB176/F176</f>
        <v>8.5505833333333339</v>
      </c>
    </row>
    <row r="177" spans="1:31" s="105" customFormat="1">
      <c r="A177" s="97">
        <f t="shared" ref="A177:A222" si="9">A176+1</f>
        <v>3</v>
      </c>
      <c r="B177" s="98" t="s">
        <v>78</v>
      </c>
      <c r="C177" s="98" t="s">
        <v>83</v>
      </c>
      <c r="D177" s="99">
        <v>28</v>
      </c>
      <c r="E177" s="99"/>
      <c r="F177" s="100">
        <v>8</v>
      </c>
      <c r="G177" s="101"/>
      <c r="H177" s="110"/>
      <c r="I177" s="110"/>
      <c r="J177" s="101"/>
      <c r="K177" s="110"/>
      <c r="L177" s="110"/>
      <c r="M177" s="101"/>
      <c r="N177" s="110"/>
      <c r="O177" s="110"/>
      <c r="P177" s="101"/>
      <c r="Q177" s="127"/>
      <c r="R177" s="127"/>
      <c r="S177" s="48">
        <f t="shared" ref="S177" si="10">T177+U177</f>
        <v>40.32</v>
      </c>
      <c r="T177" s="48">
        <v>39.99</v>
      </c>
      <c r="U177" s="48">
        <v>0.33</v>
      </c>
      <c r="V177" s="48">
        <f t="shared" si="3"/>
        <v>68.809000000000012</v>
      </c>
      <c r="W177" s="48">
        <v>68.296000000000006</v>
      </c>
      <c r="X177" s="48">
        <v>0.51300000000000001</v>
      </c>
      <c r="Y177" s="123">
        <f t="shared" si="4"/>
        <v>99.216000000000008</v>
      </c>
      <c r="Z177" s="124">
        <v>98.703000000000003</v>
      </c>
      <c r="AA177" s="124">
        <v>0.51300000000000001</v>
      </c>
      <c r="AB177" s="125">
        <f t="shared" ref="AB177:AB185" si="11">AC177+AD177</f>
        <v>99.416999999999987</v>
      </c>
      <c r="AC177" s="106">
        <f>130.021-30.406-0.198</f>
        <v>99.416999999999987</v>
      </c>
      <c r="AD177" s="106">
        <v>0</v>
      </c>
      <c r="AE177" s="127">
        <f t="shared" si="8"/>
        <v>12.427124999999998</v>
      </c>
    </row>
    <row r="178" spans="1:31" s="105" customFormat="1">
      <c r="A178" s="97">
        <f t="shared" si="9"/>
        <v>4</v>
      </c>
      <c r="B178" s="98" t="s">
        <v>78</v>
      </c>
      <c r="C178" s="98" t="s">
        <v>35</v>
      </c>
      <c r="D178" s="99">
        <v>16</v>
      </c>
      <c r="E178" s="99"/>
      <c r="F178" s="100">
        <v>5</v>
      </c>
      <c r="G178" s="101"/>
      <c r="H178" s="110"/>
      <c r="I178" s="110"/>
      <c r="J178" s="101"/>
      <c r="K178" s="110"/>
      <c r="L178" s="110"/>
      <c r="M178" s="101"/>
      <c r="N178" s="110"/>
      <c r="O178" s="110"/>
      <c r="P178" s="101"/>
      <c r="Q178" s="127"/>
      <c r="R178" s="127"/>
      <c r="S178" s="48">
        <f t="shared" ref="S178" si="12">T178+U178</f>
        <v>100.38</v>
      </c>
      <c r="T178" s="48">
        <v>39.909999999999997</v>
      </c>
      <c r="U178" s="48">
        <v>60.47</v>
      </c>
      <c r="V178" s="48">
        <f t="shared" si="3"/>
        <v>100.383</v>
      </c>
      <c r="W178" s="48">
        <v>39.911999999999999</v>
      </c>
      <c r="X178" s="48">
        <v>60.470999999999997</v>
      </c>
      <c r="Y178" s="123">
        <f t="shared" si="4"/>
        <v>100.383</v>
      </c>
      <c r="Z178" s="124">
        <v>39.911999999999999</v>
      </c>
      <c r="AA178" s="124">
        <v>60.470999999999997</v>
      </c>
      <c r="AB178" s="125">
        <f t="shared" si="11"/>
        <v>40.479999999999997</v>
      </c>
      <c r="AC178" s="106">
        <v>39.911999999999999</v>
      </c>
      <c r="AD178" s="106">
        <v>0.56799999999999995</v>
      </c>
      <c r="AE178" s="127">
        <f t="shared" si="8"/>
        <v>8.0960000000000001</v>
      </c>
    </row>
    <row r="179" spans="1:31" s="105" customFormat="1">
      <c r="A179" s="97">
        <f t="shared" si="9"/>
        <v>5</v>
      </c>
      <c r="B179" s="98" t="s">
        <v>78</v>
      </c>
      <c r="C179" s="98" t="s">
        <v>86</v>
      </c>
      <c r="D179" s="99">
        <v>4</v>
      </c>
      <c r="E179" s="99"/>
      <c r="F179" s="100">
        <v>8</v>
      </c>
      <c r="G179" s="101"/>
      <c r="H179" s="110"/>
      <c r="I179" s="110"/>
      <c r="J179" s="101"/>
      <c r="K179" s="110"/>
      <c r="L179" s="110"/>
      <c r="M179" s="101"/>
      <c r="N179" s="110"/>
      <c r="O179" s="110"/>
      <c r="P179" s="101"/>
      <c r="Q179" s="127"/>
      <c r="R179" s="127"/>
      <c r="S179" s="48">
        <f t="shared" ref="S179" si="13">T179+U179</f>
        <v>81.67</v>
      </c>
      <c r="T179" s="48">
        <v>53.79</v>
      </c>
      <c r="U179" s="48">
        <v>27.88</v>
      </c>
      <c r="V179" s="48">
        <f t="shared" si="3"/>
        <v>81.67</v>
      </c>
      <c r="W179" s="48">
        <v>53.792999999999999</v>
      </c>
      <c r="X179" s="48">
        <v>27.876999999999999</v>
      </c>
      <c r="Y179" s="123">
        <f t="shared" si="4"/>
        <v>81.67</v>
      </c>
      <c r="Z179" s="124">
        <v>53.792999999999999</v>
      </c>
      <c r="AA179" s="124">
        <v>27.876999999999999</v>
      </c>
      <c r="AB179" s="125">
        <f t="shared" si="11"/>
        <v>33.151000000000003</v>
      </c>
      <c r="AC179" s="125">
        <v>25.17</v>
      </c>
      <c r="AD179" s="106">
        <v>7.9809999999999999</v>
      </c>
      <c r="AE179" s="127">
        <f t="shared" si="8"/>
        <v>4.1438750000000004</v>
      </c>
    </row>
    <row r="180" spans="1:31" s="105" customFormat="1">
      <c r="A180" s="97">
        <f t="shared" si="9"/>
        <v>6</v>
      </c>
      <c r="B180" s="98" t="s">
        <v>78</v>
      </c>
      <c r="C180" s="98" t="s">
        <v>19</v>
      </c>
      <c r="D180" s="99">
        <v>30</v>
      </c>
      <c r="E180" s="99"/>
      <c r="F180" s="100">
        <f>[1]МКД!$H$238</f>
        <v>19</v>
      </c>
      <c r="G180" s="101">
        <f>H180+I180</f>
        <v>0</v>
      </c>
      <c r="H180" s="110">
        <v>0</v>
      </c>
      <c r="I180" s="110"/>
      <c r="J180" s="101">
        <f>K180+L180</f>
        <v>126.59423000000001</v>
      </c>
      <c r="K180" s="110">
        <f>39040.55/1000</f>
        <v>39.040550000000003</v>
      </c>
      <c r="L180" s="110">
        <f>87553.68/1000</f>
        <v>87.55368</v>
      </c>
      <c r="M180" s="101">
        <f>N180+O180</f>
        <v>120.90817000000001</v>
      </c>
      <c r="N180" s="110">
        <f>42948.21/1000</f>
        <v>42.948209999999996</v>
      </c>
      <c r="O180" s="110">
        <f>77959.96/1000</f>
        <v>77.959960000000009</v>
      </c>
      <c r="P180" s="101">
        <f>Q180+R180</f>
        <v>137.06700000000001</v>
      </c>
      <c r="Q180" s="127">
        <v>45.011000000000003</v>
      </c>
      <c r="R180" s="127">
        <v>92.055999999999997</v>
      </c>
      <c r="S180" s="48">
        <f>T180+U180</f>
        <v>183.98000000000002</v>
      </c>
      <c r="T180" s="48">
        <v>55.05</v>
      </c>
      <c r="U180" s="48">
        <v>128.93</v>
      </c>
      <c r="V180" s="48">
        <f t="shared" si="3"/>
        <v>113.188</v>
      </c>
      <c r="W180" s="48">
        <v>37.789000000000001</v>
      </c>
      <c r="X180" s="48">
        <v>75.399000000000001</v>
      </c>
      <c r="Y180" s="123">
        <f t="shared" si="4"/>
        <v>112.447</v>
      </c>
      <c r="Z180" s="124">
        <v>37.055999999999997</v>
      </c>
      <c r="AA180" s="124">
        <v>75.391000000000005</v>
      </c>
      <c r="AB180" s="125">
        <f t="shared" si="11"/>
        <v>112.244</v>
      </c>
      <c r="AC180" s="106">
        <v>37.814999999999998</v>
      </c>
      <c r="AD180" s="106">
        <v>74.429000000000002</v>
      </c>
      <c r="AE180" s="127">
        <f t="shared" si="8"/>
        <v>5.907578947368421</v>
      </c>
    </row>
    <row r="181" spans="1:31" s="105" customFormat="1">
      <c r="A181" s="97">
        <f t="shared" si="9"/>
        <v>7</v>
      </c>
      <c r="B181" s="98" t="s">
        <v>78</v>
      </c>
      <c r="C181" s="98" t="s">
        <v>19</v>
      </c>
      <c r="D181" s="99">
        <v>32</v>
      </c>
      <c r="E181" s="99"/>
      <c r="F181" s="100">
        <f>[1]МКД!$H$239</f>
        <v>12</v>
      </c>
      <c r="G181" s="101">
        <f>H181+I181</f>
        <v>0</v>
      </c>
      <c r="H181" s="110">
        <v>0</v>
      </c>
      <c r="I181" s="110"/>
      <c r="J181" s="101">
        <f>K181+L181</f>
        <v>263.76994999999999</v>
      </c>
      <c r="K181" s="110">
        <f>100067.95/1000</f>
        <v>100.06795</v>
      </c>
      <c r="L181" s="110">
        <f>163702/1000</f>
        <v>163.702</v>
      </c>
      <c r="M181" s="101">
        <f>N181+O181</f>
        <v>264.68022999999999</v>
      </c>
      <c r="N181" s="110">
        <f>118004.2/1000</f>
        <v>118.0042</v>
      </c>
      <c r="O181" s="110">
        <f>146676.03/1000</f>
        <v>146.67603</v>
      </c>
      <c r="P181" s="101">
        <f>Q181+R181</f>
        <v>238.822</v>
      </c>
      <c r="Q181" s="127">
        <v>107.64100000000001</v>
      </c>
      <c r="R181" s="127">
        <v>131.18100000000001</v>
      </c>
      <c r="S181" s="48">
        <f>T181+U181</f>
        <v>273.83</v>
      </c>
      <c r="T181" s="48">
        <v>116.19</v>
      </c>
      <c r="U181" s="48">
        <v>157.63999999999999</v>
      </c>
      <c r="V181" s="48">
        <f t="shared" si="3"/>
        <v>125.908</v>
      </c>
      <c r="W181" s="48">
        <v>56.616</v>
      </c>
      <c r="X181" s="48">
        <v>69.292000000000002</v>
      </c>
      <c r="Y181" s="123">
        <f t="shared" si="4"/>
        <v>122.50800000000001</v>
      </c>
      <c r="Z181" s="124">
        <v>53.216000000000001</v>
      </c>
      <c r="AA181" s="124">
        <v>69.292000000000002</v>
      </c>
      <c r="AB181" s="125">
        <f t="shared" si="11"/>
        <v>117.898</v>
      </c>
      <c r="AC181" s="106">
        <v>53.7</v>
      </c>
      <c r="AD181" s="106">
        <v>64.197999999999993</v>
      </c>
      <c r="AE181" s="127">
        <f t="shared" si="8"/>
        <v>9.8248333333333324</v>
      </c>
    </row>
    <row r="182" spans="1:31" s="105" customFormat="1">
      <c r="A182" s="97">
        <f t="shared" si="9"/>
        <v>8</v>
      </c>
      <c r="B182" s="98" t="s">
        <v>78</v>
      </c>
      <c r="C182" s="98" t="s">
        <v>19</v>
      </c>
      <c r="D182" s="99">
        <v>46</v>
      </c>
      <c r="E182" s="99" t="s">
        <v>20</v>
      </c>
      <c r="F182" s="113">
        <f>'[1]снесены, расселены'!$J$129</f>
        <v>14</v>
      </c>
      <c r="G182" s="101">
        <f>H182+I182</f>
        <v>258.90075999999999</v>
      </c>
      <c r="H182" s="110">
        <f>211134.07/1000</f>
        <v>211.13407000000001</v>
      </c>
      <c r="I182" s="110">
        <f>47766.69/1000</f>
        <v>47.766690000000004</v>
      </c>
      <c r="J182" s="101">
        <f>K182+L182</f>
        <v>163.68745999999999</v>
      </c>
      <c r="K182" s="110">
        <f>117871.69/1000</f>
        <v>117.87169</v>
      </c>
      <c r="L182" s="110">
        <f>45815.77/1000</f>
        <v>45.815769999999993</v>
      </c>
      <c r="M182" s="101">
        <f>N182+O182</f>
        <v>163.68745999999999</v>
      </c>
      <c r="N182" s="110">
        <f>117871.69/1000</f>
        <v>117.87169</v>
      </c>
      <c r="O182" s="110">
        <f>45815.77/1000</f>
        <v>45.815769999999993</v>
      </c>
      <c r="P182" s="101">
        <f>Q182+R182</f>
        <v>163.07400000000001</v>
      </c>
      <c r="Q182" s="127">
        <v>113.404</v>
      </c>
      <c r="R182" s="127">
        <v>49.67</v>
      </c>
      <c r="S182" s="48">
        <f>T182+U182</f>
        <v>163.38</v>
      </c>
      <c r="T182" s="48">
        <v>117.58</v>
      </c>
      <c r="U182" s="48">
        <v>45.8</v>
      </c>
      <c r="V182" s="48">
        <f t="shared" si="3"/>
        <v>163.38</v>
      </c>
      <c r="W182" s="48">
        <v>117.583</v>
      </c>
      <c r="X182" s="48">
        <v>45.796999999999997</v>
      </c>
      <c r="Y182" s="123">
        <f t="shared" si="4"/>
        <v>163.38</v>
      </c>
      <c r="Z182" s="124">
        <v>117.583</v>
      </c>
      <c r="AA182" s="124">
        <v>45.796999999999997</v>
      </c>
      <c r="AB182" s="125">
        <f t="shared" si="11"/>
        <v>163.38</v>
      </c>
      <c r="AC182" s="106">
        <v>117.583</v>
      </c>
      <c r="AD182" s="106">
        <v>45.796999999999997</v>
      </c>
      <c r="AE182" s="127">
        <f t="shared" si="8"/>
        <v>11.67</v>
      </c>
    </row>
    <row r="183" spans="1:31" s="105" customFormat="1">
      <c r="A183" s="97">
        <f t="shared" si="9"/>
        <v>9</v>
      </c>
      <c r="B183" s="98" t="s">
        <v>78</v>
      </c>
      <c r="C183" s="98" t="s">
        <v>19</v>
      </c>
      <c r="D183" s="99">
        <v>56</v>
      </c>
      <c r="E183" s="99"/>
      <c r="F183" s="100">
        <v>12</v>
      </c>
      <c r="G183" s="101"/>
      <c r="H183" s="110"/>
      <c r="I183" s="110"/>
      <c r="J183" s="101"/>
      <c r="K183" s="110"/>
      <c r="L183" s="110"/>
      <c r="M183" s="101"/>
      <c r="N183" s="110"/>
      <c r="O183" s="110"/>
      <c r="P183" s="101"/>
      <c r="Q183" s="127"/>
      <c r="R183" s="127"/>
      <c r="S183" s="48">
        <f>T183+U183</f>
        <v>114.25</v>
      </c>
      <c r="T183" s="48">
        <v>109.86</v>
      </c>
      <c r="U183" s="48">
        <v>4.3899999999999997</v>
      </c>
      <c r="V183" s="48">
        <f t="shared" si="3"/>
        <v>114.254</v>
      </c>
      <c r="W183" s="48">
        <v>109.861</v>
      </c>
      <c r="X183" s="48">
        <v>4.3929999999999998</v>
      </c>
      <c r="Y183" s="123">
        <f t="shared" si="4"/>
        <v>114.254</v>
      </c>
      <c r="Z183" s="124">
        <v>109.861</v>
      </c>
      <c r="AA183" s="124">
        <v>4.3929999999999998</v>
      </c>
      <c r="AB183" s="125">
        <f t="shared" si="11"/>
        <v>114.254</v>
      </c>
      <c r="AC183" s="106">
        <v>109.861</v>
      </c>
      <c r="AD183" s="106">
        <v>4.3929999999999998</v>
      </c>
      <c r="AE183" s="127">
        <f t="shared" si="8"/>
        <v>9.5211666666666677</v>
      </c>
    </row>
    <row r="184" spans="1:31" s="105" customFormat="1">
      <c r="A184" s="97">
        <f t="shared" si="9"/>
        <v>10</v>
      </c>
      <c r="B184" s="98" t="s">
        <v>78</v>
      </c>
      <c r="C184" s="98" t="s">
        <v>87</v>
      </c>
      <c r="D184" s="99">
        <v>34</v>
      </c>
      <c r="E184" s="99"/>
      <c r="F184" s="100">
        <f>[2]МКД!$H$62</f>
        <v>3</v>
      </c>
      <c r="G184" s="101">
        <f>H184+I184</f>
        <v>60.596320000000006</v>
      </c>
      <c r="H184" s="110">
        <f>27286.14/1000</f>
        <v>27.28614</v>
      </c>
      <c r="I184" s="110">
        <f>33310.18/1000</f>
        <v>33.310180000000003</v>
      </c>
      <c r="J184" s="101">
        <f>K184+L184</f>
        <v>58.245020000000011</v>
      </c>
      <c r="K184" s="110">
        <f>25185.79/1000</f>
        <v>25.185790000000001</v>
      </c>
      <c r="L184" s="110">
        <f>33059.23/1000</f>
        <v>33.059230000000007</v>
      </c>
      <c r="M184" s="101">
        <f>N184+O184</f>
        <v>60.508020000000002</v>
      </c>
      <c r="N184" s="110">
        <f>28976.12/1000</f>
        <v>28.976119999999998</v>
      </c>
      <c r="O184" s="110">
        <f>31531.9/1000</f>
        <v>31.5319</v>
      </c>
      <c r="P184" s="101">
        <f>Q184+R184</f>
        <v>56.637</v>
      </c>
      <c r="Q184" s="127">
        <v>24.446000000000002</v>
      </c>
      <c r="R184" s="127">
        <v>32.191000000000003</v>
      </c>
      <c r="S184" s="48">
        <f>T184+U184</f>
        <v>63.260000000000005</v>
      </c>
      <c r="T184" s="48">
        <v>22.99</v>
      </c>
      <c r="U184" s="48">
        <v>40.270000000000003</v>
      </c>
      <c r="V184" s="48">
        <f>W184+X184</f>
        <v>16.347000000000001</v>
      </c>
      <c r="W184" s="48">
        <v>-24.927</v>
      </c>
      <c r="X184" s="48">
        <v>41.274000000000001</v>
      </c>
      <c r="Y184" s="123">
        <f>Z184+AA184</f>
        <v>41.274000000000001</v>
      </c>
      <c r="Z184" s="124">
        <v>0</v>
      </c>
      <c r="AA184" s="124">
        <v>41.274000000000001</v>
      </c>
      <c r="AB184" s="125">
        <f t="shared" si="11"/>
        <v>41.274000000000001</v>
      </c>
      <c r="AC184" s="106">
        <v>0</v>
      </c>
      <c r="AD184" s="106">
        <v>41.274000000000001</v>
      </c>
      <c r="AE184" s="127">
        <f t="shared" si="8"/>
        <v>13.758000000000001</v>
      </c>
    </row>
    <row r="185" spans="1:31" s="105" customFormat="1">
      <c r="A185" s="97">
        <f t="shared" si="9"/>
        <v>11</v>
      </c>
      <c r="B185" s="98" t="s">
        <v>78</v>
      </c>
      <c r="C185" s="98" t="s">
        <v>103</v>
      </c>
      <c r="D185" s="99">
        <v>3</v>
      </c>
      <c r="E185" s="99"/>
      <c r="F185" s="100">
        <v>49</v>
      </c>
      <c r="G185" s="101"/>
      <c r="H185" s="110"/>
      <c r="I185" s="110"/>
      <c r="J185" s="101"/>
      <c r="K185" s="110"/>
      <c r="L185" s="110"/>
      <c r="M185" s="101"/>
      <c r="N185" s="110"/>
      <c r="O185" s="110"/>
      <c r="P185" s="101"/>
      <c r="Q185" s="127"/>
      <c r="R185" s="127"/>
      <c r="S185" s="48">
        <f t="shared" ref="S185" si="14">T185+U185</f>
        <v>230.44</v>
      </c>
      <c r="T185" s="48">
        <v>88.4</v>
      </c>
      <c r="U185" s="48">
        <v>142.04</v>
      </c>
      <c r="V185" s="48">
        <f t="shared" si="3"/>
        <v>230.44800000000001</v>
      </c>
      <c r="W185" s="48">
        <v>88.403999999999996</v>
      </c>
      <c r="X185" s="48">
        <v>142.04400000000001</v>
      </c>
      <c r="Y185" s="123">
        <f t="shared" si="4"/>
        <v>225.619</v>
      </c>
      <c r="Z185" s="108">
        <v>87.070999999999998</v>
      </c>
      <c r="AA185" s="108">
        <v>138.548</v>
      </c>
      <c r="AB185" s="125">
        <f t="shared" si="11"/>
        <v>210.227</v>
      </c>
      <c r="AC185" s="106">
        <v>92.004000000000005</v>
      </c>
      <c r="AD185" s="106">
        <v>118.223</v>
      </c>
      <c r="AE185" s="127">
        <f t="shared" si="8"/>
        <v>4.2903469387755102</v>
      </c>
    </row>
    <row r="186" spans="1:31" s="105" customFormat="1">
      <c r="A186" s="97">
        <f t="shared" si="9"/>
        <v>12</v>
      </c>
      <c r="B186" s="98" t="s">
        <v>78</v>
      </c>
      <c r="C186" s="98" t="s">
        <v>88</v>
      </c>
      <c r="D186" s="99">
        <v>2</v>
      </c>
      <c r="E186" s="99"/>
      <c r="F186" s="100">
        <f>[2]МКД!$H$63</f>
        <v>12</v>
      </c>
      <c r="G186" s="101">
        <f>H186+I186</f>
        <v>196.20386999999999</v>
      </c>
      <c r="H186" s="110">
        <f>83854.08/1000</f>
        <v>83.854079999999996</v>
      </c>
      <c r="I186" s="110">
        <f>112349.79/1000</f>
        <v>112.34979</v>
      </c>
      <c r="J186" s="101">
        <f>K186+L186</f>
        <v>112.74062000000001</v>
      </c>
      <c r="K186" s="110">
        <f>44787.57/1000</f>
        <v>44.787570000000002</v>
      </c>
      <c r="L186" s="110">
        <f>67953.05/1000</f>
        <v>67.953050000000005</v>
      </c>
      <c r="M186" s="101">
        <f>N186+O186</f>
        <v>108.49081000000001</v>
      </c>
      <c r="N186" s="110">
        <f>44787.57/1000</f>
        <v>44.787570000000002</v>
      </c>
      <c r="O186" s="110">
        <f>63703.24/1000</f>
        <v>63.703240000000001</v>
      </c>
      <c r="P186" s="101">
        <f>Q186+R186</f>
        <v>110.029</v>
      </c>
      <c r="Q186" s="127">
        <v>42.076000000000001</v>
      </c>
      <c r="R186" s="127">
        <v>67.953000000000003</v>
      </c>
      <c r="S186" s="48">
        <f>T186+U186</f>
        <v>109.79</v>
      </c>
      <c r="T186" s="48">
        <v>39.14</v>
      </c>
      <c r="U186" s="48">
        <v>70.650000000000006</v>
      </c>
      <c r="V186" s="48">
        <f t="shared" si="3"/>
        <v>109.795</v>
      </c>
      <c r="W186" s="48">
        <v>39.143000000000001</v>
      </c>
      <c r="X186" s="48">
        <v>70.652000000000001</v>
      </c>
      <c r="Y186" s="123">
        <f t="shared" ref="Y186:Y189" si="15">Z186+AA186</f>
        <v>109.795</v>
      </c>
      <c r="Z186" s="124">
        <v>39.143000000000001</v>
      </c>
      <c r="AA186" s="124">
        <v>70.652000000000001</v>
      </c>
      <c r="AB186" s="125">
        <f t="shared" ref="AB186:AB188" si="16">AC186+AD186</f>
        <v>109.795</v>
      </c>
      <c r="AC186" s="106">
        <v>39.143000000000001</v>
      </c>
      <c r="AD186" s="106">
        <v>70.652000000000001</v>
      </c>
      <c r="AE186" s="127">
        <f t="shared" si="8"/>
        <v>9.1495833333333341</v>
      </c>
    </row>
    <row r="187" spans="1:31" s="105" customFormat="1">
      <c r="A187" s="97">
        <f t="shared" si="9"/>
        <v>13</v>
      </c>
      <c r="B187" s="98" t="s">
        <v>78</v>
      </c>
      <c r="C187" s="98" t="s">
        <v>55</v>
      </c>
      <c r="D187" s="99">
        <v>6</v>
      </c>
      <c r="E187" s="99" t="s">
        <v>20</v>
      </c>
      <c r="F187" s="100">
        <v>15</v>
      </c>
      <c r="G187" s="101"/>
      <c r="H187" s="110"/>
      <c r="I187" s="110"/>
      <c r="J187" s="101"/>
      <c r="K187" s="110"/>
      <c r="L187" s="110"/>
      <c r="M187" s="101"/>
      <c r="N187" s="110"/>
      <c r="O187" s="110"/>
      <c r="P187" s="101"/>
      <c r="Q187" s="127"/>
      <c r="R187" s="127"/>
      <c r="S187" s="48">
        <f t="shared" ref="S187" si="17">T187+U187</f>
        <v>-20.150000000000002</v>
      </c>
      <c r="T187" s="48">
        <v>0.88</v>
      </c>
      <c r="U187" s="48">
        <v>-21.03</v>
      </c>
      <c r="V187" s="48">
        <f t="shared" si="3"/>
        <v>0.877</v>
      </c>
      <c r="W187" s="48">
        <v>0.877</v>
      </c>
      <c r="X187" s="48">
        <v>0</v>
      </c>
      <c r="Y187" s="123">
        <f t="shared" si="15"/>
        <v>0.877</v>
      </c>
      <c r="Z187" s="108">
        <v>0.877</v>
      </c>
      <c r="AA187" s="108">
        <v>0</v>
      </c>
      <c r="AB187" s="125">
        <f t="shared" si="16"/>
        <v>0.88</v>
      </c>
      <c r="AC187" s="106">
        <v>0.88</v>
      </c>
      <c r="AD187" s="106">
        <v>0</v>
      </c>
      <c r="AE187" s="127">
        <f t="shared" si="8"/>
        <v>5.8666666666666666E-2</v>
      </c>
    </row>
    <row r="188" spans="1:31" s="105" customFormat="1">
      <c r="A188" s="97">
        <f t="shared" si="9"/>
        <v>14</v>
      </c>
      <c r="B188" s="98" t="s">
        <v>78</v>
      </c>
      <c r="C188" s="98" t="s">
        <v>37</v>
      </c>
      <c r="D188" s="99">
        <v>4</v>
      </c>
      <c r="E188" s="99"/>
      <c r="F188" s="100">
        <v>3</v>
      </c>
      <c r="G188" s="101"/>
      <c r="H188" s="110"/>
      <c r="I188" s="110"/>
      <c r="J188" s="101"/>
      <c r="K188" s="110"/>
      <c r="L188" s="110"/>
      <c r="M188" s="101"/>
      <c r="N188" s="110"/>
      <c r="O188" s="110"/>
      <c r="P188" s="101"/>
      <c r="Q188" s="127"/>
      <c r="R188" s="127"/>
      <c r="S188" s="48">
        <f t="shared" ref="S188" si="18">T188+U188</f>
        <v>1.0000000000000009E-2</v>
      </c>
      <c r="T188" s="48">
        <v>-0.21</v>
      </c>
      <c r="U188" s="48">
        <v>0.22</v>
      </c>
      <c r="V188" s="48">
        <f t="shared" si="3"/>
        <v>0.22</v>
      </c>
      <c r="W188" s="48">
        <v>0</v>
      </c>
      <c r="X188" s="48">
        <v>0.22</v>
      </c>
      <c r="Y188" s="123">
        <f t="shared" si="15"/>
        <v>7.0000000000000062E-3</v>
      </c>
      <c r="Z188" s="108">
        <v>-0.21299999999999999</v>
      </c>
      <c r="AA188" s="108">
        <v>0.22</v>
      </c>
      <c r="AB188" s="125">
        <f t="shared" si="16"/>
        <v>7.9999999999999793E-3</v>
      </c>
      <c r="AC188" s="106">
        <v>-0.13500000000000001</v>
      </c>
      <c r="AD188" s="106">
        <v>0.14299999999999999</v>
      </c>
      <c r="AE188" s="127">
        <f t="shared" si="8"/>
        <v>2.6666666666666596E-3</v>
      </c>
    </row>
    <row r="189" spans="1:31" s="105" customFormat="1">
      <c r="A189" s="97">
        <f t="shared" si="9"/>
        <v>15</v>
      </c>
      <c r="B189" s="98" t="s">
        <v>78</v>
      </c>
      <c r="C189" s="98" t="s">
        <v>37</v>
      </c>
      <c r="D189" s="99">
        <v>22</v>
      </c>
      <c r="E189" s="99"/>
      <c r="F189" s="100">
        <v>12</v>
      </c>
      <c r="G189" s="101"/>
      <c r="H189" s="110"/>
      <c r="I189" s="110"/>
      <c r="J189" s="101"/>
      <c r="K189" s="110"/>
      <c r="L189" s="110"/>
      <c r="M189" s="101"/>
      <c r="N189" s="110"/>
      <c r="O189" s="110"/>
      <c r="P189" s="101"/>
      <c r="Q189" s="127"/>
      <c r="R189" s="127"/>
      <c r="S189" s="48">
        <f t="shared" ref="S189" si="19">T189+U189</f>
        <v>326.74</v>
      </c>
      <c r="T189" s="48">
        <v>199.2</v>
      </c>
      <c r="U189" s="48">
        <v>127.54</v>
      </c>
      <c r="V189" s="48">
        <f t="shared" si="3"/>
        <v>315.291</v>
      </c>
      <c r="W189" s="48">
        <v>187.89</v>
      </c>
      <c r="X189" s="48">
        <v>127.401</v>
      </c>
      <c r="Y189" s="123">
        <f t="shared" si="15"/>
        <v>303.98500000000001</v>
      </c>
      <c r="Z189" s="108">
        <v>176.584</v>
      </c>
      <c r="AA189" s="108">
        <v>127.401</v>
      </c>
      <c r="AB189" s="125">
        <f>AC189+AD189</f>
        <v>282.99</v>
      </c>
      <c r="AC189" s="106">
        <v>158.22800000000001</v>
      </c>
      <c r="AD189" s="106">
        <v>124.762</v>
      </c>
      <c r="AE189" s="127">
        <f t="shared" si="8"/>
        <v>23.5825</v>
      </c>
    </row>
    <row r="190" spans="1:31" s="105" customFormat="1">
      <c r="A190" s="97">
        <f t="shared" si="9"/>
        <v>16</v>
      </c>
      <c r="B190" s="98" t="s">
        <v>78</v>
      </c>
      <c r="C190" s="98" t="s">
        <v>37</v>
      </c>
      <c r="D190" s="99">
        <v>35</v>
      </c>
      <c r="E190" s="99"/>
      <c r="F190" s="100">
        <f>'[1]снесены, расселены'!$J$131</f>
        <v>25</v>
      </c>
      <c r="G190" s="101">
        <f>H190+I190</f>
        <v>384.82</v>
      </c>
      <c r="H190" s="110">
        <f>41.15+51.59</f>
        <v>92.740000000000009</v>
      </c>
      <c r="I190" s="110">
        <f>140.2+151.88</f>
        <v>292.08</v>
      </c>
      <c r="J190" s="101">
        <f>K190+L190</f>
        <v>367.12000000000006</v>
      </c>
      <c r="K190" s="110">
        <f>41.15+52.9</f>
        <v>94.05</v>
      </c>
      <c r="L190" s="110">
        <f>137.83+135.24</f>
        <v>273.07000000000005</v>
      </c>
      <c r="M190" s="101">
        <f>N190+O190</f>
        <v>367.12000000000006</v>
      </c>
      <c r="N190" s="110">
        <f>41.15+52.9</f>
        <v>94.05</v>
      </c>
      <c r="O190" s="110">
        <f>137.83+135.24</f>
        <v>273.07000000000005</v>
      </c>
      <c r="P190" s="101">
        <f>Q190+R190</f>
        <v>418.28699999999998</v>
      </c>
      <c r="Q190" s="128">
        <f>57.688+50.87</f>
        <v>108.55799999999999</v>
      </c>
      <c r="R190" s="128">
        <f>154.349+155.38</f>
        <v>309.72899999999998</v>
      </c>
      <c r="S190" s="48">
        <f>T190+U190</f>
        <v>-16.52</v>
      </c>
      <c r="T190" s="48">
        <v>-22.82</v>
      </c>
      <c r="U190" s="48">
        <v>6.3</v>
      </c>
      <c r="V190" s="48">
        <f t="shared" si="3"/>
        <v>6.3010000000000002</v>
      </c>
      <c r="W190" s="48">
        <v>0</v>
      </c>
      <c r="X190" s="48">
        <v>6.3010000000000002</v>
      </c>
      <c r="Y190" s="123">
        <f t="shared" ref="Y190:Y192" si="20">Z190+AA190</f>
        <v>0</v>
      </c>
      <c r="Z190" s="108">
        <v>0</v>
      </c>
      <c r="AA190" s="108">
        <v>0</v>
      </c>
      <c r="AB190" s="125">
        <f t="shared" ref="AB190:AB191" si="21">AC190+AD190</f>
        <v>-1.706</v>
      </c>
      <c r="AC190" s="106">
        <v>0</v>
      </c>
      <c r="AD190" s="106">
        <v>-1.706</v>
      </c>
      <c r="AE190" s="127">
        <f t="shared" si="8"/>
        <v>-6.8239999999999995E-2</v>
      </c>
    </row>
    <row r="191" spans="1:31" s="105" customFormat="1">
      <c r="A191" s="97">
        <f t="shared" si="9"/>
        <v>17</v>
      </c>
      <c r="B191" s="98" t="s">
        <v>78</v>
      </c>
      <c r="C191" s="98" t="s">
        <v>75</v>
      </c>
      <c r="D191" s="99">
        <v>34</v>
      </c>
      <c r="E191" s="99"/>
      <c r="F191" s="100">
        <f>[3]МКД!$H$94</f>
        <v>84</v>
      </c>
      <c r="G191" s="101">
        <f>H191+I191</f>
        <v>3291.8791600000004</v>
      </c>
      <c r="H191" s="110">
        <f>1325846.04/1000</f>
        <v>1325.8460400000001</v>
      </c>
      <c r="I191" s="110">
        <f>1966033.12/1000</f>
        <v>1966.0331200000001</v>
      </c>
      <c r="J191" s="101">
        <f>K191+L191</f>
        <v>3909.2248</v>
      </c>
      <c r="K191" s="110">
        <f>1482989.69/1000</f>
        <v>1482.9896899999999</v>
      </c>
      <c r="L191" s="110">
        <f>2426235.11/1000</f>
        <v>2426.2351100000001</v>
      </c>
      <c r="M191" s="101">
        <f>N191+O191</f>
        <v>3813.7871300000002</v>
      </c>
      <c r="N191" s="110">
        <f>1487315.47/1000</f>
        <v>1487.31547</v>
      </c>
      <c r="O191" s="110">
        <f>2326471.66/1000</f>
        <v>2326.4716600000002</v>
      </c>
      <c r="P191" s="101">
        <f>Q191+R191</f>
        <v>3464.5309999999999</v>
      </c>
      <c r="Q191" s="127">
        <v>1262.941</v>
      </c>
      <c r="R191" s="127">
        <v>2201.59</v>
      </c>
      <c r="S191" s="48">
        <f>T191+U191</f>
        <v>3440.77</v>
      </c>
      <c r="T191" s="48">
        <v>1224.04</v>
      </c>
      <c r="U191" s="48">
        <v>2216.73</v>
      </c>
      <c r="V191" s="48">
        <f t="shared" si="3"/>
        <v>3389.7240000000002</v>
      </c>
      <c r="W191" s="48">
        <v>1196.2239999999999</v>
      </c>
      <c r="X191" s="48">
        <v>2193.5</v>
      </c>
      <c r="Y191" s="123">
        <f t="shared" si="20"/>
        <v>3356.0240000000003</v>
      </c>
      <c r="Z191" s="108">
        <f>1186.434-27.892-1.36</f>
        <v>1157.182</v>
      </c>
      <c r="AA191" s="108">
        <v>2198.8420000000001</v>
      </c>
      <c r="AB191" s="125">
        <f t="shared" si="21"/>
        <v>3250.6549999999997</v>
      </c>
      <c r="AC191" s="106">
        <v>1143.6980000000001</v>
      </c>
      <c r="AD191" s="106">
        <v>2106.9569999999999</v>
      </c>
      <c r="AE191" s="127">
        <f t="shared" si="8"/>
        <v>38.698273809523805</v>
      </c>
    </row>
    <row r="192" spans="1:31" s="105" customFormat="1">
      <c r="A192" s="97">
        <f t="shared" si="9"/>
        <v>18</v>
      </c>
      <c r="B192" s="98" t="s">
        <v>78</v>
      </c>
      <c r="C192" s="98" t="s">
        <v>38</v>
      </c>
      <c r="D192" s="99">
        <v>8</v>
      </c>
      <c r="E192" s="99"/>
      <c r="F192" s="100">
        <f>[3]МКД!$H$95</f>
        <v>8</v>
      </c>
      <c r="G192" s="101">
        <f>H192+I192</f>
        <v>203.15948000000003</v>
      </c>
      <c r="H192" s="110">
        <f>98776.16/1000</f>
        <v>98.776160000000004</v>
      </c>
      <c r="I192" s="110">
        <f>104383.32/1000</f>
        <v>104.38332000000001</v>
      </c>
      <c r="J192" s="101">
        <f>K192+L192</f>
        <v>202.36960999999999</v>
      </c>
      <c r="K192" s="110">
        <f>62282.74/1000</f>
        <v>62.282739999999997</v>
      </c>
      <c r="L192" s="110">
        <f>140086.87/1000</f>
        <v>140.08687</v>
      </c>
      <c r="M192" s="101">
        <f>N192+O192</f>
        <v>202.39321999999999</v>
      </c>
      <c r="N192" s="110">
        <f>65488.79/1000</f>
        <v>65.488789999999995</v>
      </c>
      <c r="O192" s="110">
        <f>136904.43/1000</f>
        <v>136.90442999999999</v>
      </c>
      <c r="P192" s="101">
        <f>Q192+R192</f>
        <v>151.529</v>
      </c>
      <c r="Q192" s="127">
        <v>32.816000000000003</v>
      </c>
      <c r="R192" s="127">
        <v>118.71299999999999</v>
      </c>
      <c r="S192" s="48">
        <f>T192+U192</f>
        <v>160.98000000000002</v>
      </c>
      <c r="T192" s="48">
        <v>18.649999999999999</v>
      </c>
      <c r="U192" s="48">
        <v>142.33000000000001</v>
      </c>
      <c r="V192" s="48">
        <f t="shared" si="3"/>
        <v>151.971</v>
      </c>
      <c r="W192" s="48">
        <f>18.648-2.01</f>
        <v>16.637999999999998</v>
      </c>
      <c r="X192" s="48">
        <v>135.333</v>
      </c>
      <c r="Y192" s="123">
        <f t="shared" si="20"/>
        <v>154.47000000000003</v>
      </c>
      <c r="Z192" s="108">
        <v>16.64</v>
      </c>
      <c r="AA192" s="108">
        <v>137.83000000000001</v>
      </c>
      <c r="AB192" s="125">
        <f t="shared" ref="AB192" si="22">AC192+AD192</f>
        <v>149.47799999999998</v>
      </c>
      <c r="AC192" s="106">
        <v>19.07</v>
      </c>
      <c r="AD192" s="106">
        <v>130.40799999999999</v>
      </c>
      <c r="AE192" s="127">
        <f t="shared" si="8"/>
        <v>18.684749999999998</v>
      </c>
    </row>
    <row r="193" spans="1:31" s="105" customFormat="1">
      <c r="A193" s="97">
        <f t="shared" si="9"/>
        <v>19</v>
      </c>
      <c r="B193" s="98" t="s">
        <v>78</v>
      </c>
      <c r="C193" s="98" t="s">
        <v>38</v>
      </c>
      <c r="D193" s="99">
        <v>12</v>
      </c>
      <c r="E193" s="99"/>
      <c r="F193" s="100">
        <f>[1]МКД!$H$243</f>
        <v>12</v>
      </c>
      <c r="G193" s="101">
        <f>H193+I193</f>
        <v>0</v>
      </c>
      <c r="H193" s="110">
        <v>0</v>
      </c>
      <c r="I193" s="110"/>
      <c r="J193" s="101">
        <f>K193+L193</f>
        <v>233.73830000000004</v>
      </c>
      <c r="K193" s="110">
        <f>97250.88/1000</f>
        <v>97.250880000000009</v>
      </c>
      <c r="L193" s="110">
        <f>136487.42/1000</f>
        <v>136.48742000000001</v>
      </c>
      <c r="M193" s="101">
        <f>N193+O193</f>
        <v>229.43634</v>
      </c>
      <c r="N193" s="110">
        <f>109744.06/1000</f>
        <v>109.74406</v>
      </c>
      <c r="O193" s="110">
        <f>119692.28/1000</f>
        <v>119.69228</v>
      </c>
      <c r="P193" s="101">
        <f>Q193+R193</f>
        <v>206.06400000000002</v>
      </c>
      <c r="Q193" s="127">
        <v>100.524</v>
      </c>
      <c r="R193" s="127">
        <v>105.54</v>
      </c>
      <c r="S193" s="48">
        <f>T193+U193</f>
        <v>161.16</v>
      </c>
      <c r="T193" s="48">
        <v>68.31</v>
      </c>
      <c r="U193" s="48">
        <v>92.85</v>
      </c>
      <c r="V193" s="48">
        <f t="shared" si="3"/>
        <v>158.44800000000001</v>
      </c>
      <c r="W193" s="48">
        <v>66.617000000000004</v>
      </c>
      <c r="X193" s="48">
        <v>91.831000000000003</v>
      </c>
      <c r="Y193" s="123">
        <f t="shared" ref="Y193" si="23">Z193+AA193</f>
        <v>155.893</v>
      </c>
      <c r="Z193" s="108">
        <v>64.061999999999998</v>
      </c>
      <c r="AA193" s="108">
        <v>91.831000000000003</v>
      </c>
      <c r="AB193" s="125">
        <f t="shared" ref="AB193" si="24">AC193+AD193</f>
        <v>152.94499999999999</v>
      </c>
      <c r="AC193" s="106">
        <v>64.545000000000002</v>
      </c>
      <c r="AD193" s="106">
        <v>88.4</v>
      </c>
      <c r="AE193" s="127">
        <f t="shared" si="8"/>
        <v>12.745416666666666</v>
      </c>
    </row>
    <row r="194" spans="1:31" s="105" customFormat="1">
      <c r="A194" s="97">
        <f t="shared" si="9"/>
        <v>20</v>
      </c>
      <c r="B194" s="98" t="s">
        <v>78</v>
      </c>
      <c r="C194" s="98" t="s">
        <v>38</v>
      </c>
      <c r="D194" s="99">
        <v>28</v>
      </c>
      <c r="E194" s="99"/>
      <c r="F194" s="100">
        <f>[1]МКД!$H$386</f>
        <v>12</v>
      </c>
      <c r="G194" s="101">
        <f>H194+I194</f>
        <v>5.5452200000000005</v>
      </c>
      <c r="H194" s="110">
        <f>5545.22/1000</f>
        <v>5.5452200000000005</v>
      </c>
      <c r="I194" s="110"/>
      <c r="J194" s="101">
        <f>K194+L194</f>
        <v>7.5213400000000004</v>
      </c>
      <c r="K194" s="110">
        <f>7521.34/1000</f>
        <v>7.5213400000000004</v>
      </c>
      <c r="L194" s="110">
        <v>0</v>
      </c>
      <c r="M194" s="101">
        <f>N194+O194</f>
        <v>6.9500799999999998</v>
      </c>
      <c r="N194" s="110">
        <f>6950.08/1000</f>
        <v>6.9500799999999998</v>
      </c>
      <c r="O194" s="110"/>
      <c r="P194" s="101">
        <f>Q194+R194</f>
        <v>8.1979999999999986</v>
      </c>
      <c r="Q194" s="127">
        <v>8.4979999999999993</v>
      </c>
      <c r="R194" s="127">
        <v>-0.3</v>
      </c>
      <c r="S194" s="48">
        <f>T194+U194</f>
        <v>8.41</v>
      </c>
      <c r="T194" s="48">
        <v>8.11</v>
      </c>
      <c r="U194" s="48">
        <v>0.3</v>
      </c>
      <c r="V194" s="48">
        <f>W194+X194</f>
        <v>7.4640000000000004</v>
      </c>
      <c r="W194" s="48">
        <v>7.7640000000000002</v>
      </c>
      <c r="X194" s="48">
        <v>-0.3</v>
      </c>
      <c r="Y194" s="123">
        <f>Z194+AA194</f>
        <v>7.1639999999999997</v>
      </c>
      <c r="Z194" s="108">
        <v>7.1639999999999997</v>
      </c>
      <c r="AA194" s="108">
        <v>0</v>
      </c>
      <c r="AB194" s="125">
        <f t="shared" ref="AB194" si="25">AC194+AD194</f>
        <v>5.2549999999999999</v>
      </c>
      <c r="AC194" s="106">
        <v>5.5549999999999997</v>
      </c>
      <c r="AD194" s="106">
        <v>-0.3</v>
      </c>
      <c r="AE194" s="127">
        <f t="shared" si="8"/>
        <v>0.43791666666666668</v>
      </c>
    </row>
    <row r="195" spans="1:31" s="105" customFormat="1">
      <c r="A195" s="97">
        <f t="shared" si="9"/>
        <v>21</v>
      </c>
      <c r="B195" s="98" t="s">
        <v>78</v>
      </c>
      <c r="C195" s="98" t="s">
        <v>112</v>
      </c>
      <c r="D195" s="99">
        <v>11</v>
      </c>
      <c r="E195" s="99"/>
      <c r="F195" s="100">
        <v>2</v>
      </c>
      <c r="G195" s="101"/>
      <c r="H195" s="110"/>
      <c r="I195" s="110"/>
      <c r="J195" s="101"/>
      <c r="K195" s="110"/>
      <c r="L195" s="110"/>
      <c r="M195" s="101"/>
      <c r="N195" s="110"/>
      <c r="O195" s="110"/>
      <c r="P195" s="101"/>
      <c r="Q195" s="127"/>
      <c r="R195" s="127"/>
      <c r="S195" s="48">
        <f t="shared" ref="S195" si="26">T195+U195</f>
        <v>-2.0099999999999998</v>
      </c>
      <c r="T195" s="48">
        <v>-2.0099999999999998</v>
      </c>
      <c r="U195" s="48">
        <v>0</v>
      </c>
      <c r="V195" s="48">
        <f t="shared" si="3"/>
        <v>0</v>
      </c>
      <c r="W195" s="48">
        <v>0</v>
      </c>
      <c r="X195" s="48">
        <v>0</v>
      </c>
      <c r="Y195" s="48" t="s">
        <v>140</v>
      </c>
      <c r="Z195" s="48" t="s">
        <v>140</v>
      </c>
      <c r="AA195" s="48" t="s">
        <v>140</v>
      </c>
      <c r="AB195" s="48" t="s">
        <v>140</v>
      </c>
      <c r="AC195" s="48" t="s">
        <v>140</v>
      </c>
      <c r="AD195" s="48" t="s">
        <v>140</v>
      </c>
      <c r="AE195" s="127" t="s">
        <v>140</v>
      </c>
    </row>
    <row r="196" spans="1:31" s="105" customFormat="1">
      <c r="A196" s="97">
        <f t="shared" si="9"/>
        <v>22</v>
      </c>
      <c r="B196" s="98" t="s">
        <v>78</v>
      </c>
      <c r="C196" s="98" t="s">
        <v>90</v>
      </c>
      <c r="D196" s="99">
        <v>9</v>
      </c>
      <c r="E196" s="99"/>
      <c r="F196" s="100">
        <v>12</v>
      </c>
      <c r="G196" s="101"/>
      <c r="H196" s="110"/>
      <c r="I196" s="110"/>
      <c r="J196" s="101"/>
      <c r="K196" s="110"/>
      <c r="L196" s="110"/>
      <c r="M196" s="101"/>
      <c r="N196" s="110"/>
      <c r="O196" s="110"/>
      <c r="P196" s="101"/>
      <c r="Q196" s="127"/>
      <c r="R196" s="127"/>
      <c r="S196" s="48">
        <f t="shared" ref="S196" si="27">T196+U196</f>
        <v>-1.34</v>
      </c>
      <c r="T196" s="48">
        <v>-1.36</v>
      </c>
      <c r="U196" s="48">
        <v>0.02</v>
      </c>
      <c r="V196" s="48">
        <f t="shared" si="3"/>
        <v>2.1999999999999999E-2</v>
      </c>
      <c r="W196" s="48">
        <v>0</v>
      </c>
      <c r="X196" s="48">
        <v>2.1999999999999999E-2</v>
      </c>
      <c r="Y196" s="123">
        <f t="shared" ref="Y196" si="28">Z196+AA196</f>
        <v>2.1999999999999999E-2</v>
      </c>
      <c r="Z196" s="108">
        <v>0</v>
      </c>
      <c r="AA196" s="108">
        <v>2.1999999999999999E-2</v>
      </c>
      <c r="AB196" s="125">
        <f t="shared" ref="AB196" si="29">AC196+AD196</f>
        <v>2.1999999999999999E-2</v>
      </c>
      <c r="AC196" s="106">
        <v>0</v>
      </c>
      <c r="AD196" s="106">
        <v>2.1999999999999999E-2</v>
      </c>
      <c r="AE196" s="127">
        <f t="shared" si="8"/>
        <v>1.8333333333333333E-3</v>
      </c>
    </row>
    <row r="197" spans="1:31" s="105" customFormat="1">
      <c r="A197" s="97">
        <f t="shared" si="9"/>
        <v>23</v>
      </c>
      <c r="B197" s="98" t="s">
        <v>78</v>
      </c>
      <c r="C197" s="98" t="s">
        <v>90</v>
      </c>
      <c r="D197" s="99">
        <v>19</v>
      </c>
      <c r="E197" s="99" t="s">
        <v>20</v>
      </c>
      <c r="F197" s="100">
        <v>12</v>
      </c>
      <c r="G197" s="101"/>
      <c r="H197" s="110"/>
      <c r="I197" s="110"/>
      <c r="J197" s="101"/>
      <c r="K197" s="110"/>
      <c r="L197" s="110"/>
      <c r="M197" s="101"/>
      <c r="N197" s="110"/>
      <c r="O197" s="110"/>
      <c r="P197" s="101"/>
      <c r="Q197" s="127"/>
      <c r="R197" s="127"/>
      <c r="S197" s="48">
        <f t="shared" ref="S197" si="30">T197+U197</f>
        <v>168.9</v>
      </c>
      <c r="T197" s="48">
        <v>14.08</v>
      </c>
      <c r="U197" s="48">
        <v>154.82</v>
      </c>
      <c r="V197" s="48">
        <f t="shared" si="3"/>
        <v>168.90100000000001</v>
      </c>
      <c r="W197" s="48">
        <v>14.077</v>
      </c>
      <c r="X197" s="48">
        <v>154.82400000000001</v>
      </c>
      <c r="Y197" s="123">
        <f t="shared" ref="Y197:Y202" si="31">Z197+AA197</f>
        <v>168.90100000000001</v>
      </c>
      <c r="Z197" s="108">
        <v>14.077</v>
      </c>
      <c r="AA197" s="108">
        <v>154.82400000000001</v>
      </c>
      <c r="AB197" s="125">
        <f t="shared" ref="AB197:AB203" si="32">AC197+AD197</f>
        <v>97.597999999999999</v>
      </c>
      <c r="AC197" s="106">
        <v>14.077</v>
      </c>
      <c r="AD197" s="106">
        <v>83.521000000000001</v>
      </c>
      <c r="AE197" s="127">
        <f t="shared" si="8"/>
        <v>8.133166666666666</v>
      </c>
    </row>
    <row r="198" spans="1:31" s="105" customFormat="1">
      <c r="A198" s="97">
        <f t="shared" si="9"/>
        <v>24</v>
      </c>
      <c r="B198" s="98" t="s">
        <v>78</v>
      </c>
      <c r="C198" s="98" t="s">
        <v>90</v>
      </c>
      <c r="D198" s="99">
        <v>21</v>
      </c>
      <c r="E198" s="99"/>
      <c r="F198" s="100">
        <v>12</v>
      </c>
      <c r="G198" s="101"/>
      <c r="H198" s="110"/>
      <c r="I198" s="110"/>
      <c r="J198" s="101"/>
      <c r="K198" s="110"/>
      <c r="L198" s="110"/>
      <c r="M198" s="101"/>
      <c r="N198" s="110"/>
      <c r="O198" s="110"/>
      <c r="P198" s="101"/>
      <c r="Q198" s="127"/>
      <c r="R198" s="127"/>
      <c r="S198" s="48">
        <f t="shared" ref="S198" si="33">T198+U198</f>
        <v>14.84</v>
      </c>
      <c r="T198" s="48">
        <v>9.94</v>
      </c>
      <c r="U198" s="48">
        <v>4.9000000000000004</v>
      </c>
      <c r="V198" s="48">
        <f t="shared" si="3"/>
        <v>14.835000000000001</v>
      </c>
      <c r="W198" s="48">
        <v>9.9359999999999999</v>
      </c>
      <c r="X198" s="48">
        <v>4.899</v>
      </c>
      <c r="Y198" s="123">
        <f t="shared" si="31"/>
        <v>12.786</v>
      </c>
      <c r="Z198" s="108">
        <v>7.8869999999999996</v>
      </c>
      <c r="AA198" s="108">
        <v>4.899</v>
      </c>
      <c r="AB198" s="125">
        <f t="shared" si="32"/>
        <v>10.071</v>
      </c>
      <c r="AC198" s="106">
        <v>5.1719999999999997</v>
      </c>
      <c r="AD198" s="106">
        <v>4.899</v>
      </c>
      <c r="AE198" s="127">
        <f t="shared" si="8"/>
        <v>0.83924999999999994</v>
      </c>
    </row>
    <row r="199" spans="1:31" s="105" customFormat="1">
      <c r="A199" s="97">
        <f t="shared" si="9"/>
        <v>25</v>
      </c>
      <c r="B199" s="98" t="s">
        <v>78</v>
      </c>
      <c r="C199" s="98" t="s">
        <v>90</v>
      </c>
      <c r="D199" s="99">
        <v>37</v>
      </c>
      <c r="E199" s="99" t="s">
        <v>20</v>
      </c>
      <c r="F199" s="100">
        <f>[3]МКД!$H$118</f>
        <v>21</v>
      </c>
      <c r="G199" s="101">
        <f>H199+I199</f>
        <v>353.48886999999996</v>
      </c>
      <c r="H199" s="110">
        <f>114066.9/1000</f>
        <v>114.06689999999999</v>
      </c>
      <c r="I199" s="110">
        <f>239421.97/1000</f>
        <v>239.42196999999999</v>
      </c>
      <c r="J199" s="101">
        <f>K199+L199</f>
        <v>288.43196</v>
      </c>
      <c r="K199" s="120">
        <f>77896.53/1000</f>
        <v>77.896529999999998</v>
      </c>
      <c r="L199" s="110">
        <f>210535.43/1000</f>
        <v>210.53542999999999</v>
      </c>
      <c r="M199" s="101">
        <f>N199+O199</f>
        <v>283.68925999999999</v>
      </c>
      <c r="N199" s="110">
        <f>77896.53/1000</f>
        <v>77.896529999999998</v>
      </c>
      <c r="O199" s="110">
        <f>205792.73/1000</f>
        <v>205.79273000000001</v>
      </c>
      <c r="P199" s="101">
        <f>Q199+R199</f>
        <v>293.17399999999998</v>
      </c>
      <c r="Q199" s="127">
        <v>82.638999999999996</v>
      </c>
      <c r="R199" s="127">
        <v>210.535</v>
      </c>
      <c r="S199" s="48">
        <f>T199+U199</f>
        <v>288.43</v>
      </c>
      <c r="T199" s="48">
        <v>84.57</v>
      </c>
      <c r="U199" s="48">
        <v>203.86</v>
      </c>
      <c r="V199" s="48">
        <f t="shared" si="3"/>
        <v>288.43099999999998</v>
      </c>
      <c r="W199" s="48">
        <v>84.567999999999998</v>
      </c>
      <c r="X199" s="48">
        <v>203.863</v>
      </c>
      <c r="Y199" s="123">
        <f t="shared" si="31"/>
        <v>288.43099999999998</v>
      </c>
      <c r="Z199" s="108">
        <v>84.567999999999998</v>
      </c>
      <c r="AA199" s="108">
        <v>203.863</v>
      </c>
      <c r="AB199" s="125">
        <f t="shared" si="32"/>
        <v>288.43099999999998</v>
      </c>
      <c r="AC199" s="106">
        <v>86.79</v>
      </c>
      <c r="AD199" s="106">
        <v>201.64099999999999</v>
      </c>
      <c r="AE199" s="127">
        <f t="shared" si="8"/>
        <v>13.734809523809522</v>
      </c>
    </row>
    <row r="200" spans="1:31" s="105" customFormat="1">
      <c r="A200" s="97">
        <f t="shared" si="9"/>
        <v>26</v>
      </c>
      <c r="B200" s="98" t="s">
        <v>78</v>
      </c>
      <c r="C200" s="98" t="s">
        <v>90</v>
      </c>
      <c r="D200" s="99">
        <v>43</v>
      </c>
      <c r="E200" s="99"/>
      <c r="F200" s="100">
        <f>[3]МКД!$H$121</f>
        <v>35</v>
      </c>
      <c r="G200" s="101">
        <f>H200+I200</f>
        <v>192.46645999999998</v>
      </c>
      <c r="H200" s="110">
        <f>69399.7/1000</f>
        <v>69.399699999999996</v>
      </c>
      <c r="I200" s="110">
        <f>123066.76/1000</f>
        <v>123.06675999999999</v>
      </c>
      <c r="J200" s="101">
        <f>K200+L200</f>
        <v>192.46645999999998</v>
      </c>
      <c r="K200" s="110">
        <f>69399.7/1000</f>
        <v>69.399699999999996</v>
      </c>
      <c r="L200" s="110">
        <f>123066.76/1000</f>
        <v>123.06675999999999</v>
      </c>
      <c r="M200" s="101">
        <f>N200+O200</f>
        <v>69.399699999999996</v>
      </c>
      <c r="N200" s="110">
        <f>69399.7/1000</f>
        <v>69.399699999999996</v>
      </c>
      <c r="O200" s="110"/>
      <c r="P200" s="101">
        <f>Q200+R200</f>
        <v>134.04499999999999</v>
      </c>
      <c r="Q200" s="127">
        <v>39.101999999999997</v>
      </c>
      <c r="R200" s="127">
        <v>94.942999999999998</v>
      </c>
      <c r="S200" s="48">
        <f>T200+U200</f>
        <v>164.35000000000002</v>
      </c>
      <c r="T200" s="48">
        <v>77.040000000000006</v>
      </c>
      <c r="U200" s="48">
        <v>87.31</v>
      </c>
      <c r="V200" s="48">
        <f>W200+X200</f>
        <v>164.34199999999998</v>
      </c>
      <c r="W200" s="48">
        <v>77.036000000000001</v>
      </c>
      <c r="X200" s="48">
        <v>87.305999999999997</v>
      </c>
      <c r="Y200" s="123">
        <f>Z200+AA200</f>
        <v>164.34199999999998</v>
      </c>
      <c r="Z200" s="108">
        <v>77.036000000000001</v>
      </c>
      <c r="AA200" s="108">
        <v>87.305999999999997</v>
      </c>
      <c r="AB200" s="125">
        <f t="shared" si="32"/>
        <v>164.34299999999999</v>
      </c>
      <c r="AC200" s="106">
        <v>77.397999999999996</v>
      </c>
      <c r="AD200" s="106">
        <v>86.944999999999993</v>
      </c>
      <c r="AE200" s="127">
        <f t="shared" si="8"/>
        <v>4.6955142857142853</v>
      </c>
    </row>
    <row r="201" spans="1:31" s="105" customFormat="1">
      <c r="A201" s="97">
        <f t="shared" si="9"/>
        <v>27</v>
      </c>
      <c r="B201" s="98" t="s">
        <v>78</v>
      </c>
      <c r="C201" s="98" t="s">
        <v>27</v>
      </c>
      <c r="D201" s="99">
        <v>16</v>
      </c>
      <c r="E201" s="99"/>
      <c r="F201" s="100">
        <v>10</v>
      </c>
      <c r="G201" s="101"/>
      <c r="H201" s="110"/>
      <c r="I201" s="110"/>
      <c r="J201" s="101"/>
      <c r="K201" s="110"/>
      <c r="L201" s="110"/>
      <c r="M201" s="101"/>
      <c r="N201" s="110"/>
      <c r="O201" s="110"/>
      <c r="P201" s="101"/>
      <c r="Q201" s="127"/>
      <c r="R201" s="127"/>
      <c r="S201" s="48">
        <f>T201+U201</f>
        <v>166.51999999999998</v>
      </c>
      <c r="T201" s="48">
        <v>80.38</v>
      </c>
      <c r="U201" s="48">
        <v>86.14</v>
      </c>
      <c r="V201" s="48">
        <f t="shared" si="3"/>
        <v>166.52199999999999</v>
      </c>
      <c r="W201" s="48">
        <v>80.378</v>
      </c>
      <c r="X201" s="48">
        <v>86.144000000000005</v>
      </c>
      <c r="Y201" s="123">
        <f t="shared" si="31"/>
        <v>166.52199999999999</v>
      </c>
      <c r="Z201" s="108">
        <v>80.378</v>
      </c>
      <c r="AA201" s="108">
        <v>86.144000000000005</v>
      </c>
      <c r="AB201" s="125">
        <f t="shared" si="32"/>
        <v>166.52199999999999</v>
      </c>
      <c r="AC201" s="106">
        <v>80.994</v>
      </c>
      <c r="AD201" s="106">
        <v>85.528000000000006</v>
      </c>
      <c r="AE201" s="127">
        <f t="shared" si="8"/>
        <v>16.652200000000001</v>
      </c>
    </row>
    <row r="202" spans="1:31" s="105" customFormat="1">
      <c r="A202" s="97">
        <f t="shared" si="9"/>
        <v>28</v>
      </c>
      <c r="B202" s="98" t="s">
        <v>78</v>
      </c>
      <c r="C202" s="98" t="s">
        <v>27</v>
      </c>
      <c r="D202" s="99">
        <v>18</v>
      </c>
      <c r="E202" s="99"/>
      <c r="F202" s="100">
        <v>4</v>
      </c>
      <c r="G202" s="101"/>
      <c r="H202" s="110"/>
      <c r="I202" s="110"/>
      <c r="J202" s="101"/>
      <c r="K202" s="110"/>
      <c r="L202" s="110"/>
      <c r="M202" s="101"/>
      <c r="N202" s="110"/>
      <c r="O202" s="110"/>
      <c r="P202" s="101"/>
      <c r="Q202" s="127"/>
      <c r="R202" s="127"/>
      <c r="S202" s="48">
        <f t="shared" ref="S202" si="34">T202+U202</f>
        <v>237.74</v>
      </c>
      <c r="T202" s="48">
        <v>68.67</v>
      </c>
      <c r="U202" s="48">
        <v>169.07</v>
      </c>
      <c r="V202" s="48">
        <f t="shared" si="3"/>
        <v>237.74100000000001</v>
      </c>
      <c r="W202" s="48">
        <v>68.667000000000002</v>
      </c>
      <c r="X202" s="48">
        <v>169.07400000000001</v>
      </c>
      <c r="Y202" s="123">
        <f t="shared" si="31"/>
        <v>237.74100000000001</v>
      </c>
      <c r="Z202" s="108">
        <v>68.667000000000002</v>
      </c>
      <c r="AA202" s="108">
        <v>169.07400000000001</v>
      </c>
      <c r="AB202" s="125">
        <f t="shared" si="32"/>
        <v>212.18299999999999</v>
      </c>
      <c r="AC202" s="106">
        <v>69.858000000000004</v>
      </c>
      <c r="AD202" s="106">
        <v>142.32499999999999</v>
      </c>
      <c r="AE202" s="127">
        <f t="shared" si="8"/>
        <v>53.045749999999998</v>
      </c>
    </row>
    <row r="203" spans="1:31" s="105" customFormat="1">
      <c r="A203" s="97">
        <f t="shared" si="9"/>
        <v>29</v>
      </c>
      <c r="B203" s="98" t="s">
        <v>78</v>
      </c>
      <c r="C203" s="98" t="s">
        <v>76</v>
      </c>
      <c r="D203" s="99">
        <v>8</v>
      </c>
      <c r="E203" s="99" t="s">
        <v>20</v>
      </c>
      <c r="F203" s="100">
        <v>12</v>
      </c>
      <c r="G203" s="101">
        <f>H203+I203</f>
        <v>87.559139999999999</v>
      </c>
      <c r="H203" s="110">
        <f>81785.5/1000</f>
        <v>81.785499999999999</v>
      </c>
      <c r="I203" s="110">
        <f>5773.64/1000</f>
        <v>5.7736400000000003</v>
      </c>
      <c r="J203" s="101">
        <f>K203+L203</f>
        <v>56.978439999999999</v>
      </c>
      <c r="K203" s="110">
        <f>54805.07/1000</f>
        <v>54.805070000000001</v>
      </c>
      <c r="L203" s="110">
        <f>2173.37/1000</f>
        <v>2.1733699999999998</v>
      </c>
      <c r="M203" s="101">
        <f>N203+O203</f>
        <v>20.814899999999998</v>
      </c>
      <c r="N203" s="110">
        <f>19209.85/1000</f>
        <v>19.209849999999999</v>
      </c>
      <c r="O203" s="110">
        <f>1605.05/1000</f>
        <v>1.6050499999999999</v>
      </c>
      <c r="P203" s="101">
        <f>Q203+R203</f>
        <v>66.11</v>
      </c>
      <c r="Q203" s="127">
        <v>31.899000000000001</v>
      </c>
      <c r="R203" s="127">
        <v>34.210999999999999</v>
      </c>
      <c r="S203" s="48">
        <f t="shared" ref="S203:S210" si="35">T203+U203</f>
        <v>-27.650000000000002</v>
      </c>
      <c r="T203" s="48">
        <v>-27.48</v>
      </c>
      <c r="U203" s="48">
        <v>-0.17</v>
      </c>
      <c r="V203" s="48">
        <f t="shared" si="3"/>
        <v>0</v>
      </c>
      <c r="W203" s="48">
        <v>0</v>
      </c>
      <c r="X203" s="48">
        <v>0</v>
      </c>
      <c r="Y203" s="48" t="s">
        <v>140</v>
      </c>
      <c r="Z203" s="48" t="s">
        <v>140</v>
      </c>
      <c r="AA203" s="48" t="s">
        <v>140</v>
      </c>
      <c r="AB203" s="125">
        <f t="shared" si="32"/>
        <v>0</v>
      </c>
      <c r="AC203" s="106">
        <v>0</v>
      </c>
      <c r="AD203" s="106">
        <v>0</v>
      </c>
      <c r="AE203" s="127">
        <f t="shared" si="8"/>
        <v>0</v>
      </c>
    </row>
    <row r="204" spans="1:31" s="105" customFormat="1">
      <c r="A204" s="97">
        <f t="shared" si="9"/>
        <v>30</v>
      </c>
      <c r="B204" s="98" t="s">
        <v>78</v>
      </c>
      <c r="C204" s="98" t="s">
        <v>76</v>
      </c>
      <c r="D204" s="99">
        <v>23</v>
      </c>
      <c r="E204" s="99"/>
      <c r="F204" s="100">
        <v>3</v>
      </c>
      <c r="G204" s="101"/>
      <c r="H204" s="110"/>
      <c r="I204" s="110"/>
      <c r="J204" s="101"/>
      <c r="K204" s="110"/>
      <c r="L204" s="110"/>
      <c r="M204" s="101"/>
      <c r="N204" s="110"/>
      <c r="O204" s="110"/>
      <c r="P204" s="101"/>
      <c r="Q204" s="127"/>
      <c r="R204" s="127"/>
      <c r="S204" s="48">
        <f>T204+U204</f>
        <v>-1.1100000000000001</v>
      </c>
      <c r="T204" s="48">
        <v>0</v>
      </c>
      <c r="U204" s="48">
        <v>-1.1100000000000001</v>
      </c>
      <c r="V204" s="48">
        <f>W204+X204</f>
        <v>-1.1100000000000001</v>
      </c>
      <c r="W204" s="48">
        <v>0</v>
      </c>
      <c r="X204" s="48">
        <v>-1.1100000000000001</v>
      </c>
      <c r="Y204" s="48" t="s">
        <v>140</v>
      </c>
      <c r="Z204" s="48" t="s">
        <v>140</v>
      </c>
      <c r="AA204" s="48" t="s">
        <v>140</v>
      </c>
      <c r="AB204" s="48" t="s">
        <v>140</v>
      </c>
      <c r="AC204" s="48" t="s">
        <v>140</v>
      </c>
      <c r="AD204" s="48" t="s">
        <v>140</v>
      </c>
      <c r="AE204" s="127" t="s">
        <v>140</v>
      </c>
    </row>
    <row r="205" spans="1:31" s="105" customFormat="1">
      <c r="A205" s="97">
        <f t="shared" si="9"/>
        <v>31</v>
      </c>
      <c r="B205" s="98" t="s">
        <v>78</v>
      </c>
      <c r="C205" s="98" t="s">
        <v>92</v>
      </c>
      <c r="D205" s="99">
        <v>3</v>
      </c>
      <c r="E205" s="99"/>
      <c r="F205" s="100">
        <f>[1]МКД!$H$246</f>
        <v>8</v>
      </c>
      <c r="G205" s="101">
        <f>H205+I205</f>
        <v>0</v>
      </c>
      <c r="H205" s="110">
        <v>0</v>
      </c>
      <c r="I205" s="110"/>
      <c r="J205" s="101">
        <f>K205+L205</f>
        <v>62.019759999999998</v>
      </c>
      <c r="K205" s="110">
        <f>60276.34/1000</f>
        <v>60.276339999999998</v>
      </c>
      <c r="L205" s="110">
        <f>1743.42/1000</f>
        <v>1.74342</v>
      </c>
      <c r="M205" s="101">
        <f>N205+O205</f>
        <v>68.771589999999989</v>
      </c>
      <c r="N205" s="110">
        <f>67117.59/1000</f>
        <v>67.117589999999993</v>
      </c>
      <c r="O205" s="110">
        <f>1654/1000</f>
        <v>1.6539999999999999</v>
      </c>
      <c r="P205" s="101">
        <f>Q205+R205</f>
        <v>64.435000000000002</v>
      </c>
      <c r="Q205" s="127">
        <v>66.415000000000006</v>
      </c>
      <c r="R205" s="127">
        <v>-1.98</v>
      </c>
      <c r="S205" s="48">
        <f t="shared" si="35"/>
        <v>50.52</v>
      </c>
      <c r="T205" s="48">
        <v>52.81</v>
      </c>
      <c r="U205" s="48">
        <v>-2.29</v>
      </c>
      <c r="V205" s="48">
        <f t="shared" si="3"/>
        <v>52.814</v>
      </c>
      <c r="W205" s="48">
        <v>52.814</v>
      </c>
      <c r="X205" s="48">
        <v>0</v>
      </c>
      <c r="Y205" s="123">
        <f t="shared" ref="Y205:Y207" si="36">Z205+AA205</f>
        <v>52.814</v>
      </c>
      <c r="Z205" s="108">
        <v>52.814</v>
      </c>
      <c r="AA205" s="108">
        <v>0</v>
      </c>
      <c r="AB205" s="125">
        <f t="shared" ref="AB205:AB207" si="37">AC205+AD205</f>
        <v>50.523000000000003</v>
      </c>
      <c r="AC205" s="106">
        <v>53.188000000000002</v>
      </c>
      <c r="AD205" s="106">
        <v>-2.665</v>
      </c>
      <c r="AE205" s="127">
        <f t="shared" si="8"/>
        <v>6.3153750000000004</v>
      </c>
    </row>
    <row r="206" spans="1:31" s="105" customFormat="1">
      <c r="A206" s="97">
        <f t="shared" si="9"/>
        <v>32</v>
      </c>
      <c r="B206" s="98" t="s">
        <v>78</v>
      </c>
      <c r="C206" s="98" t="s">
        <v>93</v>
      </c>
      <c r="D206" s="99">
        <v>5</v>
      </c>
      <c r="E206" s="99"/>
      <c r="F206" s="100">
        <v>8</v>
      </c>
      <c r="G206" s="101"/>
      <c r="H206" s="110"/>
      <c r="I206" s="110"/>
      <c r="J206" s="101"/>
      <c r="K206" s="110"/>
      <c r="L206" s="110"/>
      <c r="M206" s="101"/>
      <c r="N206" s="110"/>
      <c r="O206" s="110"/>
      <c r="P206" s="101"/>
      <c r="Q206" s="127"/>
      <c r="R206" s="127"/>
      <c r="S206" s="48">
        <f t="shared" si="35"/>
        <v>4.46</v>
      </c>
      <c r="T206" s="48">
        <v>4.42</v>
      </c>
      <c r="U206" s="48">
        <v>0.04</v>
      </c>
      <c r="V206" s="48">
        <f t="shared" si="3"/>
        <v>4.4569999999999999</v>
      </c>
      <c r="W206" s="48">
        <v>4.4219999999999997</v>
      </c>
      <c r="X206" s="48">
        <v>3.5000000000000003E-2</v>
      </c>
      <c r="Y206" s="123">
        <f t="shared" si="36"/>
        <v>4.4569999999999999</v>
      </c>
      <c r="Z206" s="108">
        <v>4.4219999999999997</v>
      </c>
      <c r="AA206" s="108">
        <v>3.5000000000000003E-2</v>
      </c>
      <c r="AB206" s="125">
        <f t="shared" si="37"/>
        <v>4.4569999999999999</v>
      </c>
      <c r="AC206" s="125">
        <v>4.4219999999999997</v>
      </c>
      <c r="AD206" s="106">
        <v>3.5000000000000003E-2</v>
      </c>
      <c r="AE206" s="127">
        <f t="shared" si="8"/>
        <v>0.55712499999999998</v>
      </c>
    </row>
    <row r="207" spans="1:31" s="105" customFormat="1">
      <c r="A207" s="97">
        <f t="shared" si="9"/>
        <v>33</v>
      </c>
      <c r="B207" s="98" t="s">
        <v>78</v>
      </c>
      <c r="C207" s="98" t="s">
        <v>93</v>
      </c>
      <c r="D207" s="99">
        <v>6</v>
      </c>
      <c r="E207" s="99"/>
      <c r="F207" s="100">
        <v>8</v>
      </c>
      <c r="G207" s="101"/>
      <c r="H207" s="110"/>
      <c r="I207" s="110"/>
      <c r="J207" s="101"/>
      <c r="K207" s="110"/>
      <c r="L207" s="110"/>
      <c r="M207" s="101"/>
      <c r="N207" s="110"/>
      <c r="O207" s="110"/>
      <c r="P207" s="101"/>
      <c r="Q207" s="127"/>
      <c r="R207" s="127"/>
      <c r="S207" s="48">
        <f t="shared" si="35"/>
        <v>100.73</v>
      </c>
      <c r="T207" s="48">
        <v>99.95</v>
      </c>
      <c r="U207" s="48">
        <v>0.78</v>
      </c>
      <c r="V207" s="48">
        <f t="shared" si="3"/>
        <v>100.72999999999999</v>
      </c>
      <c r="W207" s="48">
        <v>99.950999999999993</v>
      </c>
      <c r="X207" s="48">
        <v>0.77900000000000003</v>
      </c>
      <c r="Y207" s="123">
        <f t="shared" si="36"/>
        <v>100.73699999999999</v>
      </c>
      <c r="Z207" s="108">
        <v>99.950999999999993</v>
      </c>
      <c r="AA207" s="108">
        <v>0.78600000000000003</v>
      </c>
      <c r="AB207" s="125">
        <f t="shared" si="37"/>
        <v>100.72999999999999</v>
      </c>
      <c r="AC207" s="106">
        <v>99.950999999999993</v>
      </c>
      <c r="AD207" s="106">
        <v>0.77900000000000003</v>
      </c>
      <c r="AE207" s="127">
        <f t="shared" si="8"/>
        <v>12.591249999999999</v>
      </c>
    </row>
    <row r="208" spans="1:31" s="105" customFormat="1">
      <c r="A208" s="97">
        <f t="shared" si="9"/>
        <v>34</v>
      </c>
      <c r="B208" s="98" t="s">
        <v>78</v>
      </c>
      <c r="C208" s="98" t="s">
        <v>93</v>
      </c>
      <c r="D208" s="99">
        <v>10</v>
      </c>
      <c r="E208" s="99"/>
      <c r="F208" s="100">
        <v>12</v>
      </c>
      <c r="G208" s="101"/>
      <c r="H208" s="110"/>
      <c r="I208" s="110"/>
      <c r="J208" s="101"/>
      <c r="K208" s="110"/>
      <c r="L208" s="110"/>
      <c r="M208" s="101"/>
      <c r="N208" s="110"/>
      <c r="O208" s="110"/>
      <c r="P208" s="101"/>
      <c r="Q208" s="127"/>
      <c r="R208" s="127"/>
      <c r="S208" s="48">
        <f t="shared" si="35"/>
        <v>82.66</v>
      </c>
      <c r="T208" s="48">
        <v>58.63</v>
      </c>
      <c r="U208" s="48">
        <v>24.03</v>
      </c>
      <c r="V208" s="48">
        <f t="shared" si="3"/>
        <v>82.662999999999997</v>
      </c>
      <c r="W208" s="48">
        <v>58.631</v>
      </c>
      <c r="X208" s="48">
        <v>24.032</v>
      </c>
      <c r="Y208" s="123">
        <f t="shared" ref="Y208:Y210" si="38">Z208+AA208</f>
        <v>86.745999999999995</v>
      </c>
      <c r="Z208" s="108">
        <v>58.631</v>
      </c>
      <c r="AA208" s="108">
        <v>28.114999999999998</v>
      </c>
      <c r="AB208" s="125">
        <f t="shared" ref="AB208:AB210" si="39">AC208+AD208</f>
        <v>82.662999999999997</v>
      </c>
      <c r="AC208" s="106">
        <v>58.631</v>
      </c>
      <c r="AD208" s="106">
        <v>24.032</v>
      </c>
      <c r="AE208" s="127">
        <f t="shared" si="8"/>
        <v>6.8885833333333331</v>
      </c>
    </row>
    <row r="209" spans="1:31" s="105" customFormat="1">
      <c r="A209" s="97">
        <f t="shared" si="9"/>
        <v>35</v>
      </c>
      <c r="B209" s="98" t="s">
        <v>78</v>
      </c>
      <c r="C209" s="98" t="s">
        <v>93</v>
      </c>
      <c r="D209" s="99">
        <v>11</v>
      </c>
      <c r="E209" s="99"/>
      <c r="F209" s="100">
        <v>24</v>
      </c>
      <c r="G209" s="101"/>
      <c r="H209" s="110"/>
      <c r="I209" s="110"/>
      <c r="J209" s="101"/>
      <c r="K209" s="110"/>
      <c r="L209" s="110"/>
      <c r="M209" s="101"/>
      <c r="N209" s="110"/>
      <c r="O209" s="110"/>
      <c r="P209" s="101"/>
      <c r="Q209" s="127"/>
      <c r="R209" s="127"/>
      <c r="S209" s="48">
        <f t="shared" si="35"/>
        <v>115.21</v>
      </c>
      <c r="T209" s="48">
        <v>87.3</v>
      </c>
      <c r="U209" s="48">
        <v>27.91</v>
      </c>
      <c r="V209" s="48">
        <f t="shared" si="3"/>
        <v>115.211</v>
      </c>
      <c r="W209" s="48">
        <v>87.302999999999997</v>
      </c>
      <c r="X209" s="48">
        <v>27.908000000000001</v>
      </c>
      <c r="Y209" s="123">
        <f t="shared" si="38"/>
        <v>115.211</v>
      </c>
      <c r="Z209" s="108">
        <v>87.302999999999997</v>
      </c>
      <c r="AA209" s="108">
        <v>27.908000000000001</v>
      </c>
      <c r="AB209" s="125">
        <f t="shared" si="39"/>
        <v>115.21100000000001</v>
      </c>
      <c r="AC209" s="106">
        <v>87.98</v>
      </c>
      <c r="AD209" s="106">
        <v>27.231000000000002</v>
      </c>
      <c r="AE209" s="127">
        <f t="shared" si="8"/>
        <v>4.8004583333333342</v>
      </c>
    </row>
    <row r="210" spans="1:31" s="105" customFormat="1">
      <c r="A210" s="97">
        <f t="shared" si="9"/>
        <v>36</v>
      </c>
      <c r="B210" s="98" t="s">
        <v>78</v>
      </c>
      <c r="C210" s="98" t="s">
        <v>94</v>
      </c>
      <c r="D210" s="99">
        <v>6</v>
      </c>
      <c r="E210" s="99"/>
      <c r="F210" s="100">
        <f>[1]МКД!$H$250</f>
        <v>4</v>
      </c>
      <c r="G210" s="101">
        <f>H210+I210</f>
        <v>0</v>
      </c>
      <c r="H210" s="110">
        <v>0</v>
      </c>
      <c r="I210" s="110"/>
      <c r="J210" s="101">
        <f>K210+L210</f>
        <v>37.602459999999994</v>
      </c>
      <c r="K210" s="110">
        <f>36912.88/1000</f>
        <v>36.912879999999994</v>
      </c>
      <c r="L210" s="110">
        <f>689.58/1000</f>
        <v>0.68958000000000008</v>
      </c>
      <c r="M210" s="101">
        <f>N210+O210</f>
        <v>28.009789999999999</v>
      </c>
      <c r="N210" s="110">
        <f>27587.39/1000</f>
        <v>27.587389999999999</v>
      </c>
      <c r="O210" s="110">
        <f>422.4/1000</f>
        <v>0.4224</v>
      </c>
      <c r="P210" s="101">
        <f>Q210+R210</f>
        <v>25.785</v>
      </c>
      <c r="Q210" s="127">
        <v>25.414999999999999</v>
      </c>
      <c r="R210" s="127">
        <v>0.37</v>
      </c>
      <c r="S210" s="48">
        <f t="shared" si="35"/>
        <v>24.78</v>
      </c>
      <c r="T210" s="48">
        <v>24.41</v>
      </c>
      <c r="U210" s="48">
        <v>0.37</v>
      </c>
      <c r="V210" s="48">
        <f t="shared" si="3"/>
        <v>24.777000000000001</v>
      </c>
      <c r="W210" s="48">
        <v>24.407</v>
      </c>
      <c r="X210" s="48">
        <v>0.37</v>
      </c>
      <c r="Y210" s="123">
        <f t="shared" si="38"/>
        <v>24.777000000000001</v>
      </c>
      <c r="Z210" s="108">
        <v>24.407</v>
      </c>
      <c r="AA210" s="108">
        <v>0.37</v>
      </c>
      <c r="AB210" s="125">
        <f t="shared" si="39"/>
        <v>24.777000000000001</v>
      </c>
      <c r="AC210" s="125">
        <v>24.407</v>
      </c>
      <c r="AD210" s="106">
        <v>0.37</v>
      </c>
      <c r="AE210" s="127">
        <f t="shared" si="8"/>
        <v>6.1942500000000003</v>
      </c>
    </row>
    <row r="211" spans="1:31" s="105" customFormat="1">
      <c r="A211" s="97">
        <f t="shared" si="9"/>
        <v>37</v>
      </c>
      <c r="B211" s="98" t="s">
        <v>78</v>
      </c>
      <c r="C211" s="98" t="s">
        <v>62</v>
      </c>
      <c r="D211" s="99">
        <v>4</v>
      </c>
      <c r="E211" s="99"/>
      <c r="F211" s="100">
        <v>140</v>
      </c>
      <c r="G211" s="101"/>
      <c r="H211" s="110"/>
      <c r="I211" s="110"/>
      <c r="J211" s="101"/>
      <c r="K211" s="110"/>
      <c r="L211" s="110"/>
      <c r="M211" s="101"/>
      <c r="N211" s="110"/>
      <c r="O211" s="110"/>
      <c r="P211" s="101"/>
      <c r="Q211" s="127"/>
      <c r="R211" s="127"/>
      <c r="S211" s="48">
        <f t="shared" ref="S211" si="40">T211+U211</f>
        <v>1857.35</v>
      </c>
      <c r="T211" s="48">
        <v>736</v>
      </c>
      <c r="U211" s="48">
        <v>1121.3499999999999</v>
      </c>
      <c r="V211" s="48">
        <f t="shared" si="3"/>
        <v>1854.9169999999999</v>
      </c>
      <c r="W211" s="48">
        <v>729.37400000000002</v>
      </c>
      <c r="X211" s="48">
        <f>1126.366-0.823</f>
        <v>1125.5429999999999</v>
      </c>
      <c r="Y211" s="123">
        <f t="shared" ref="Y211:Y215" si="41">Z211+AA211</f>
        <v>1858.2829999999999</v>
      </c>
      <c r="Z211" s="124">
        <f>731.898</f>
        <v>731.89800000000002</v>
      </c>
      <c r="AA211" s="124">
        <v>1126.385</v>
      </c>
      <c r="AB211" s="125">
        <f t="shared" ref="AB211:AB215" si="42">AC211+AD211</f>
        <v>1613.3229999999999</v>
      </c>
      <c r="AC211" s="106">
        <v>731.89800000000002</v>
      </c>
      <c r="AD211" s="106">
        <f>1126.385-244-0.96</f>
        <v>881.42499999999995</v>
      </c>
      <c r="AE211" s="127">
        <f t="shared" si="8"/>
        <v>11.523735714285714</v>
      </c>
    </row>
    <row r="212" spans="1:31" s="105" customFormat="1">
      <c r="A212" s="97">
        <f t="shared" si="9"/>
        <v>38</v>
      </c>
      <c r="B212" s="98" t="s">
        <v>78</v>
      </c>
      <c r="C212" s="98" t="s">
        <v>62</v>
      </c>
      <c r="D212" s="99">
        <v>10</v>
      </c>
      <c r="E212" s="99"/>
      <c r="F212" s="100">
        <v>91</v>
      </c>
      <c r="G212" s="101"/>
      <c r="H212" s="110"/>
      <c r="I212" s="110"/>
      <c r="J212" s="101"/>
      <c r="K212" s="110"/>
      <c r="L212" s="110"/>
      <c r="M212" s="101"/>
      <c r="N212" s="110"/>
      <c r="O212" s="110"/>
      <c r="P212" s="101"/>
      <c r="Q212" s="127"/>
      <c r="R212" s="127"/>
      <c r="S212" s="48"/>
      <c r="T212" s="48"/>
      <c r="U212" s="48"/>
      <c r="V212" s="48"/>
      <c r="W212" s="48"/>
      <c r="X212" s="48"/>
      <c r="Y212" s="123"/>
      <c r="Z212" s="124"/>
      <c r="AA212" s="124"/>
      <c r="AB212" s="125">
        <f>AC212+AD212</f>
        <v>341.49599999999998</v>
      </c>
      <c r="AC212" s="125">
        <v>146.386</v>
      </c>
      <c r="AD212" s="106">
        <v>195.11</v>
      </c>
      <c r="AE212" s="127">
        <f t="shared" si="8"/>
        <v>3.7527032967032965</v>
      </c>
    </row>
    <row r="213" spans="1:31" s="105" customFormat="1">
      <c r="A213" s="97">
        <f t="shared" si="9"/>
        <v>39</v>
      </c>
      <c r="B213" s="98" t="s">
        <v>78</v>
      </c>
      <c r="C213" s="104" t="s">
        <v>105</v>
      </c>
      <c r="D213" s="99">
        <v>11</v>
      </c>
      <c r="E213" s="99"/>
      <c r="F213" s="113">
        <v>60</v>
      </c>
      <c r="G213" s="101"/>
      <c r="H213" s="110"/>
      <c r="I213" s="110"/>
      <c r="J213" s="101"/>
      <c r="K213" s="110"/>
      <c r="L213" s="110"/>
      <c r="M213" s="101"/>
      <c r="N213" s="110"/>
      <c r="O213" s="110"/>
      <c r="P213" s="101"/>
      <c r="Q213" s="127"/>
      <c r="R213" s="127"/>
      <c r="S213" s="48">
        <f t="shared" ref="S213" si="43">T213+U213</f>
        <v>288.96999999999997</v>
      </c>
      <c r="T213" s="48">
        <v>47.08</v>
      </c>
      <c r="U213" s="48">
        <v>241.89</v>
      </c>
      <c r="V213" s="48">
        <f t="shared" ref="V213:V215" si="44">W213+X213</f>
        <v>285.00200000000001</v>
      </c>
      <c r="W213" s="48">
        <v>43.26</v>
      </c>
      <c r="X213" s="48">
        <v>241.74199999999999</v>
      </c>
      <c r="Y213" s="123">
        <f t="shared" si="41"/>
        <v>284.63400000000001</v>
      </c>
      <c r="Z213" s="124">
        <v>43.26</v>
      </c>
      <c r="AA213" s="124">
        <v>241.374</v>
      </c>
      <c r="AB213" s="125">
        <f t="shared" si="42"/>
        <v>77.471000000000004</v>
      </c>
      <c r="AC213" s="106">
        <v>41.616</v>
      </c>
      <c r="AD213" s="106">
        <v>35.854999999999997</v>
      </c>
      <c r="AE213" s="127">
        <f t="shared" si="8"/>
        <v>1.2911833333333333</v>
      </c>
    </row>
    <row r="214" spans="1:31" s="105" customFormat="1">
      <c r="A214" s="97">
        <f t="shared" si="9"/>
        <v>40</v>
      </c>
      <c r="B214" s="98" t="s">
        <v>78</v>
      </c>
      <c r="C214" s="98" t="s">
        <v>96</v>
      </c>
      <c r="D214" s="99">
        <v>1</v>
      </c>
      <c r="E214" s="99" t="s">
        <v>20</v>
      </c>
      <c r="F214" s="113">
        <v>21</v>
      </c>
      <c r="G214" s="101"/>
      <c r="H214" s="110"/>
      <c r="I214" s="110"/>
      <c r="J214" s="101"/>
      <c r="K214" s="110"/>
      <c r="L214" s="110"/>
      <c r="M214" s="101"/>
      <c r="N214" s="110"/>
      <c r="O214" s="110"/>
      <c r="P214" s="101"/>
      <c r="Q214" s="127"/>
      <c r="R214" s="127"/>
      <c r="S214" s="48">
        <f t="shared" ref="S214:S215" si="45">T214+U214</f>
        <v>12.420000000000002</v>
      </c>
      <c r="T214" s="48">
        <v>9.0500000000000007</v>
      </c>
      <c r="U214" s="48">
        <v>3.37</v>
      </c>
      <c r="V214" s="48">
        <f t="shared" si="44"/>
        <v>12.422000000000001</v>
      </c>
      <c r="W214" s="48">
        <v>9.048</v>
      </c>
      <c r="X214" s="48">
        <v>3.3740000000000001</v>
      </c>
      <c r="Y214" s="123">
        <f t="shared" si="41"/>
        <v>12.854000000000001</v>
      </c>
      <c r="Z214" s="108">
        <v>9.48</v>
      </c>
      <c r="AA214" s="108">
        <v>3.3740000000000001</v>
      </c>
      <c r="AB214" s="125">
        <f t="shared" si="42"/>
        <v>12.423</v>
      </c>
      <c r="AC214" s="106">
        <v>9.1950000000000003</v>
      </c>
      <c r="AD214" s="106">
        <v>3.2280000000000002</v>
      </c>
      <c r="AE214" s="127">
        <f t="shared" si="8"/>
        <v>0.59157142857142853</v>
      </c>
    </row>
    <row r="215" spans="1:31" s="105" customFormat="1">
      <c r="A215" s="97">
        <f t="shared" si="9"/>
        <v>41</v>
      </c>
      <c r="B215" s="98" t="s">
        <v>78</v>
      </c>
      <c r="C215" s="98" t="s">
        <v>96</v>
      </c>
      <c r="D215" s="99">
        <v>4</v>
      </c>
      <c r="E215" s="99"/>
      <c r="F215" s="113">
        <v>26</v>
      </c>
      <c r="G215" s="101"/>
      <c r="H215" s="110"/>
      <c r="I215" s="110"/>
      <c r="J215" s="101"/>
      <c r="K215" s="110"/>
      <c r="L215" s="110"/>
      <c r="M215" s="101"/>
      <c r="N215" s="110"/>
      <c r="O215" s="110"/>
      <c r="P215" s="101"/>
      <c r="Q215" s="127"/>
      <c r="R215" s="127"/>
      <c r="S215" s="48">
        <f t="shared" si="45"/>
        <v>43.66</v>
      </c>
      <c r="T215" s="48">
        <v>11.08</v>
      </c>
      <c r="U215" s="48">
        <v>32.58</v>
      </c>
      <c r="V215" s="48">
        <f t="shared" si="44"/>
        <v>43.66</v>
      </c>
      <c r="W215" s="48">
        <v>11.077999999999999</v>
      </c>
      <c r="X215" s="48">
        <v>32.582000000000001</v>
      </c>
      <c r="Y215" s="123">
        <f t="shared" si="41"/>
        <v>43.66</v>
      </c>
      <c r="Z215" s="108">
        <v>11.077999999999999</v>
      </c>
      <c r="AA215" s="108">
        <v>32.582000000000001</v>
      </c>
      <c r="AB215" s="125">
        <f t="shared" si="42"/>
        <v>43.66</v>
      </c>
      <c r="AC215" s="106">
        <v>11.266</v>
      </c>
      <c r="AD215" s="106">
        <v>32.393999999999998</v>
      </c>
      <c r="AE215" s="127">
        <f t="shared" si="8"/>
        <v>1.6792307692307691</v>
      </c>
    </row>
    <row r="216" spans="1:31" s="105" customFormat="1">
      <c r="A216" s="97">
        <f t="shared" si="9"/>
        <v>42</v>
      </c>
      <c r="B216" s="98" t="s">
        <v>78</v>
      </c>
      <c r="C216" s="98" t="s">
        <v>96</v>
      </c>
      <c r="D216" s="99">
        <v>16</v>
      </c>
      <c r="E216" s="99"/>
      <c r="F216" s="121">
        <v>22</v>
      </c>
      <c r="G216" s="101"/>
      <c r="H216" s="110"/>
      <c r="I216" s="110"/>
      <c r="J216" s="101"/>
      <c r="K216" s="110"/>
      <c r="L216" s="110"/>
      <c r="M216" s="101"/>
      <c r="N216" s="110"/>
      <c r="O216" s="110"/>
      <c r="P216" s="101"/>
      <c r="Q216" s="127"/>
      <c r="R216" s="127"/>
      <c r="S216" s="48">
        <f t="shared" ref="S216:S222" si="46">T216+U216</f>
        <v>240.03</v>
      </c>
      <c r="T216" s="48">
        <v>72.069999999999993</v>
      </c>
      <c r="U216" s="48">
        <v>167.96</v>
      </c>
      <c r="V216" s="48">
        <f t="shared" ref="V216:V222" si="47">W216+X216</f>
        <v>240.03399999999999</v>
      </c>
      <c r="W216" s="48">
        <v>72.072000000000003</v>
      </c>
      <c r="X216" s="48">
        <v>167.96199999999999</v>
      </c>
      <c r="Y216" s="123">
        <f t="shared" ref="Y216:Y222" si="48">Z216+AA216</f>
        <v>240.03399999999999</v>
      </c>
      <c r="Z216" s="108">
        <v>72.072000000000003</v>
      </c>
      <c r="AA216" s="108">
        <v>167.96199999999999</v>
      </c>
      <c r="AB216" s="125">
        <f t="shared" ref="AB216:AB222" si="49">AC216+AD216</f>
        <v>175.684</v>
      </c>
      <c r="AC216" s="106">
        <v>73.162999999999997</v>
      </c>
      <c r="AD216" s="106">
        <v>102.521</v>
      </c>
      <c r="AE216" s="127">
        <f t="shared" si="8"/>
        <v>7.9856363636363632</v>
      </c>
    </row>
    <row r="217" spans="1:31" s="105" customFormat="1">
      <c r="A217" s="97">
        <f t="shared" si="9"/>
        <v>43</v>
      </c>
      <c r="B217" s="98" t="s">
        <v>78</v>
      </c>
      <c r="C217" s="98" t="s">
        <v>96</v>
      </c>
      <c r="D217" s="99">
        <v>18</v>
      </c>
      <c r="E217" s="99"/>
      <c r="F217" s="122">
        <v>15</v>
      </c>
      <c r="G217" s="101"/>
      <c r="H217" s="110"/>
      <c r="I217" s="110"/>
      <c r="J217" s="101"/>
      <c r="K217" s="110"/>
      <c r="L217" s="110"/>
      <c r="M217" s="101"/>
      <c r="N217" s="110"/>
      <c r="O217" s="110"/>
      <c r="P217" s="101"/>
      <c r="Q217" s="127"/>
      <c r="R217" s="127"/>
      <c r="S217" s="48">
        <f t="shared" si="46"/>
        <v>349.66</v>
      </c>
      <c r="T217" s="48">
        <v>145.61000000000001</v>
      </c>
      <c r="U217" s="48">
        <v>204.05</v>
      </c>
      <c r="V217" s="48">
        <f t="shared" si="47"/>
        <v>340.72199999999998</v>
      </c>
      <c r="W217" s="48">
        <f>145.614-8.94</f>
        <v>136.67400000000001</v>
      </c>
      <c r="X217" s="48">
        <v>204.048</v>
      </c>
      <c r="Y217" s="123">
        <f t="shared" si="48"/>
        <v>349.57100000000003</v>
      </c>
      <c r="Z217" s="108">
        <v>145.523</v>
      </c>
      <c r="AA217" s="108">
        <v>204.048</v>
      </c>
      <c r="AB217" s="125">
        <f t="shared" si="49"/>
        <v>324.39929999999998</v>
      </c>
      <c r="AC217" s="106">
        <v>147.14599999999999</v>
      </c>
      <c r="AD217" s="106">
        <f>178.521-1.2677</f>
        <v>177.2533</v>
      </c>
      <c r="AE217" s="127">
        <f t="shared" si="8"/>
        <v>21.626619999999999</v>
      </c>
    </row>
    <row r="218" spans="1:31" s="105" customFormat="1">
      <c r="A218" s="97">
        <f t="shared" si="9"/>
        <v>44</v>
      </c>
      <c r="B218" s="98" t="s">
        <v>78</v>
      </c>
      <c r="C218" s="98" t="s">
        <v>96</v>
      </c>
      <c r="D218" s="99">
        <v>22</v>
      </c>
      <c r="E218" s="99"/>
      <c r="F218" s="122">
        <v>17</v>
      </c>
      <c r="G218" s="101"/>
      <c r="H218" s="110"/>
      <c r="I218" s="110"/>
      <c r="J218" s="101"/>
      <c r="K218" s="110"/>
      <c r="L218" s="110"/>
      <c r="M218" s="101"/>
      <c r="N218" s="110"/>
      <c r="O218" s="110"/>
      <c r="P218" s="101"/>
      <c r="Q218" s="127"/>
      <c r="R218" s="127"/>
      <c r="S218" s="48">
        <f t="shared" si="46"/>
        <v>-6.58</v>
      </c>
      <c r="T218" s="48">
        <v>-8.94</v>
      </c>
      <c r="U218" s="48">
        <v>2.36</v>
      </c>
      <c r="V218" s="48">
        <f t="shared" si="47"/>
        <v>2.3559999999999999</v>
      </c>
      <c r="W218" s="48">
        <v>0</v>
      </c>
      <c r="X218" s="48">
        <v>2.3559999999999999</v>
      </c>
      <c r="Y218" s="123">
        <f t="shared" si="48"/>
        <v>2.3559999999999999</v>
      </c>
      <c r="Z218" s="108">
        <v>0</v>
      </c>
      <c r="AA218" s="108">
        <v>2.3559999999999999</v>
      </c>
      <c r="AB218" s="125">
        <f t="shared" si="49"/>
        <v>2.3559999999999999</v>
      </c>
      <c r="AC218" s="106">
        <v>0</v>
      </c>
      <c r="AD218" s="106">
        <v>2.3559999999999999</v>
      </c>
      <c r="AE218" s="127">
        <f t="shared" si="8"/>
        <v>0.13858823529411765</v>
      </c>
    </row>
    <row r="219" spans="1:31" s="105" customFormat="1">
      <c r="A219" s="97">
        <f t="shared" si="9"/>
        <v>45</v>
      </c>
      <c r="B219" s="98" t="s">
        <v>78</v>
      </c>
      <c r="C219" s="98" t="s">
        <v>97</v>
      </c>
      <c r="D219" s="99">
        <v>22</v>
      </c>
      <c r="E219" s="99" t="s">
        <v>20</v>
      </c>
      <c r="F219" s="100">
        <v>14</v>
      </c>
      <c r="G219" s="101"/>
      <c r="H219" s="110"/>
      <c r="I219" s="110"/>
      <c r="J219" s="101"/>
      <c r="K219" s="110"/>
      <c r="L219" s="110"/>
      <c r="M219" s="101"/>
      <c r="N219" s="110"/>
      <c r="O219" s="110"/>
      <c r="P219" s="101"/>
      <c r="Q219" s="127"/>
      <c r="R219" s="127"/>
      <c r="S219" s="48">
        <f t="shared" si="46"/>
        <v>113.85000000000001</v>
      </c>
      <c r="T219" s="48">
        <v>31.56</v>
      </c>
      <c r="U219" s="48">
        <v>82.29</v>
      </c>
      <c r="V219" s="48">
        <f t="shared" si="47"/>
        <v>113.84399999999999</v>
      </c>
      <c r="W219" s="48">
        <v>31.558</v>
      </c>
      <c r="X219" s="48">
        <v>82.286000000000001</v>
      </c>
      <c r="Y219" s="123">
        <f t="shared" si="48"/>
        <v>113.84399999999999</v>
      </c>
      <c r="Z219" s="108">
        <v>31.558</v>
      </c>
      <c r="AA219" s="108">
        <v>82.286000000000001</v>
      </c>
      <c r="AB219" s="125">
        <f t="shared" si="49"/>
        <v>96.384999999999991</v>
      </c>
      <c r="AC219" s="106">
        <v>32.170999999999999</v>
      </c>
      <c r="AD219" s="106">
        <v>64.213999999999999</v>
      </c>
      <c r="AE219" s="127">
        <f t="shared" si="8"/>
        <v>6.8846428571428566</v>
      </c>
    </row>
    <row r="220" spans="1:31" s="105" customFormat="1">
      <c r="A220" s="97">
        <f t="shared" si="9"/>
        <v>46</v>
      </c>
      <c r="B220" s="98" t="s">
        <v>78</v>
      </c>
      <c r="C220" s="98" t="s">
        <v>98</v>
      </c>
      <c r="D220" s="99">
        <v>16</v>
      </c>
      <c r="E220" s="99"/>
      <c r="F220" s="100">
        <v>12</v>
      </c>
      <c r="G220" s="101"/>
      <c r="H220" s="110"/>
      <c r="I220" s="110"/>
      <c r="J220" s="101"/>
      <c r="K220" s="110"/>
      <c r="L220" s="110"/>
      <c r="M220" s="101"/>
      <c r="N220" s="110"/>
      <c r="O220" s="110"/>
      <c r="P220" s="101"/>
      <c r="Q220" s="127"/>
      <c r="R220" s="127"/>
      <c r="S220" s="48">
        <f t="shared" si="46"/>
        <v>-1.1899999999999977</v>
      </c>
      <c r="T220" s="48">
        <v>-26.2</v>
      </c>
      <c r="U220" s="48">
        <v>25.01</v>
      </c>
      <c r="V220" s="48">
        <f t="shared" si="47"/>
        <v>25.007999999999999</v>
      </c>
      <c r="W220" s="48">
        <v>0</v>
      </c>
      <c r="X220" s="48">
        <v>25.007999999999999</v>
      </c>
      <c r="Y220" s="123">
        <f t="shared" si="48"/>
        <v>25.007999999999999</v>
      </c>
      <c r="Z220" s="108">
        <v>0</v>
      </c>
      <c r="AA220" s="108">
        <v>25.007999999999999</v>
      </c>
      <c r="AB220" s="125">
        <f t="shared" si="49"/>
        <v>25.007999999999999</v>
      </c>
      <c r="AC220" s="125">
        <v>0</v>
      </c>
      <c r="AD220" s="106">
        <v>25.007999999999999</v>
      </c>
      <c r="AE220" s="127">
        <f t="shared" si="8"/>
        <v>2.0840000000000001</v>
      </c>
    </row>
    <row r="221" spans="1:31" s="105" customFormat="1">
      <c r="A221" s="97">
        <f t="shared" si="9"/>
        <v>47</v>
      </c>
      <c r="B221" s="98" t="s">
        <v>78</v>
      </c>
      <c r="C221" s="98" t="s">
        <v>98</v>
      </c>
      <c r="D221" s="99">
        <v>18</v>
      </c>
      <c r="E221" s="99"/>
      <c r="F221" s="100">
        <v>12</v>
      </c>
      <c r="G221" s="101"/>
      <c r="H221" s="110"/>
      <c r="I221" s="110"/>
      <c r="J221" s="101"/>
      <c r="K221" s="110"/>
      <c r="L221" s="110"/>
      <c r="M221" s="101"/>
      <c r="N221" s="110"/>
      <c r="O221" s="110"/>
      <c r="P221" s="101"/>
      <c r="Q221" s="127"/>
      <c r="R221" s="127"/>
      <c r="S221" s="48">
        <f t="shared" si="46"/>
        <v>5.8900000000000006</v>
      </c>
      <c r="T221" s="48">
        <v>1.94</v>
      </c>
      <c r="U221" s="48">
        <v>3.95</v>
      </c>
      <c r="V221" s="48">
        <f t="shared" si="47"/>
        <v>5.8959999999999999</v>
      </c>
      <c r="W221" s="48">
        <v>1.944</v>
      </c>
      <c r="X221" s="48">
        <v>3.952</v>
      </c>
      <c r="Y221" s="123">
        <f t="shared" si="48"/>
        <v>5.8959999999999999</v>
      </c>
      <c r="Z221" s="108">
        <v>1.944</v>
      </c>
      <c r="AA221" s="108">
        <v>3.952</v>
      </c>
      <c r="AB221" s="125">
        <f t="shared" si="49"/>
        <v>5.8959999999999999</v>
      </c>
      <c r="AC221" s="106">
        <v>1.944</v>
      </c>
      <c r="AD221" s="106">
        <v>3.952</v>
      </c>
      <c r="AE221" s="127">
        <f t="shared" si="8"/>
        <v>0.49133333333333334</v>
      </c>
    </row>
    <row r="222" spans="1:31" s="105" customFormat="1">
      <c r="A222" s="97">
        <f t="shared" si="9"/>
        <v>48</v>
      </c>
      <c r="B222" s="98" t="s">
        <v>78</v>
      </c>
      <c r="C222" s="98" t="s">
        <v>99</v>
      </c>
      <c r="D222" s="99">
        <v>1</v>
      </c>
      <c r="E222" s="99"/>
      <c r="F222" s="100">
        <v>15</v>
      </c>
      <c r="G222" s="101"/>
      <c r="H222" s="110"/>
      <c r="I222" s="110"/>
      <c r="J222" s="101"/>
      <c r="K222" s="110"/>
      <c r="L222" s="110"/>
      <c r="M222" s="101"/>
      <c r="N222" s="110"/>
      <c r="O222" s="110"/>
      <c r="P222" s="101"/>
      <c r="Q222" s="127"/>
      <c r="R222" s="127"/>
      <c r="S222" s="48">
        <f t="shared" si="46"/>
        <v>-46.699999999999989</v>
      </c>
      <c r="T222" s="48">
        <v>171.11</v>
      </c>
      <c r="U222" s="48">
        <v>-217.81</v>
      </c>
      <c r="V222" s="48">
        <f t="shared" si="47"/>
        <v>171.108</v>
      </c>
      <c r="W222" s="48">
        <v>171.108</v>
      </c>
      <c r="X222" s="48">
        <v>0</v>
      </c>
      <c r="Y222" s="123">
        <f t="shared" si="48"/>
        <v>171.108</v>
      </c>
      <c r="Z222" s="108">
        <v>171.108</v>
      </c>
      <c r="AA222" s="108">
        <v>0</v>
      </c>
      <c r="AB222" s="125">
        <f t="shared" si="49"/>
        <v>171.108</v>
      </c>
      <c r="AC222" s="106">
        <v>171.108</v>
      </c>
      <c r="AD222" s="106">
        <v>0</v>
      </c>
      <c r="AE222" s="127">
        <f t="shared" si="8"/>
        <v>11.4072</v>
      </c>
    </row>
    <row r="223" spans="1:31" s="27" customFormat="1">
      <c r="A223" s="26"/>
      <c r="B223" s="114" t="s">
        <v>8</v>
      </c>
      <c r="C223" s="26"/>
      <c r="D223" s="26"/>
      <c r="E223" s="26"/>
      <c r="F223" s="37">
        <f>SUM(F175:F222)</f>
        <v>990</v>
      </c>
      <c r="G223" s="57">
        <f t="shared" ref="G223:AD223" si="50">SUM(G175:G222)</f>
        <v>5034.6192800000008</v>
      </c>
      <c r="H223" s="57">
        <f t="shared" si="50"/>
        <v>2110.4338100000004</v>
      </c>
      <c r="I223" s="57">
        <f t="shared" si="50"/>
        <v>2924.1854699999999</v>
      </c>
      <c r="J223" s="57">
        <f t="shared" si="50"/>
        <v>6082.5104099999999</v>
      </c>
      <c r="K223" s="57">
        <f t="shared" si="50"/>
        <v>2370.3387199999993</v>
      </c>
      <c r="L223" s="57">
        <f t="shared" si="50"/>
        <v>3712.1716900000001</v>
      </c>
      <c r="M223" s="57">
        <f t="shared" si="50"/>
        <v>5808.6467000000002</v>
      </c>
      <c r="N223" s="57">
        <f t="shared" si="50"/>
        <v>2377.3472500000003</v>
      </c>
      <c r="O223" s="57">
        <f t="shared" si="50"/>
        <v>3431.2994500000009</v>
      </c>
      <c r="P223" s="57">
        <f t="shared" si="50"/>
        <v>5537.7870000000012</v>
      </c>
      <c r="Q223" s="57">
        <f t="shared" si="50"/>
        <v>2091.3850000000002</v>
      </c>
      <c r="R223" s="57">
        <f t="shared" si="50"/>
        <v>3446.4019999999996</v>
      </c>
      <c r="S223" s="57">
        <f t="shared" si="50"/>
        <v>9772.56</v>
      </c>
      <c r="T223" s="57">
        <f t="shared" si="50"/>
        <v>4104.67</v>
      </c>
      <c r="U223" s="57">
        <f t="shared" si="50"/>
        <v>5667.8899999999994</v>
      </c>
      <c r="V223" s="57">
        <f t="shared" si="50"/>
        <v>9775.257999999998</v>
      </c>
      <c r="W223" s="57">
        <f t="shared" si="50"/>
        <v>4034.6870000000008</v>
      </c>
      <c r="X223" s="57">
        <f t="shared" si="50"/>
        <v>5740.5709999999999</v>
      </c>
      <c r="Y223" s="57">
        <f t="shared" si="50"/>
        <v>9798.3859999999986</v>
      </c>
      <c r="Z223" s="57">
        <f t="shared" si="50"/>
        <v>4040.5970000000011</v>
      </c>
      <c r="AA223" s="57">
        <f t="shared" si="50"/>
        <v>5757.7889999999989</v>
      </c>
      <c r="AB223" s="57">
        <f>SUM(AB175:AB222)</f>
        <v>9194.8412999999964</v>
      </c>
      <c r="AC223" s="57">
        <f t="shared" si="50"/>
        <v>4140.411000000001</v>
      </c>
      <c r="AD223" s="57">
        <f t="shared" si="50"/>
        <v>5054.4302999999991</v>
      </c>
      <c r="AE223" s="50"/>
    </row>
    <row r="225" spans="2:31" s="87" customFormat="1" ht="12.75">
      <c r="B225" s="88" t="s">
        <v>144</v>
      </c>
    </row>
    <row r="226" spans="2:31" s="87" customFormat="1" ht="44.25" customHeight="1">
      <c r="B226" s="249" t="s">
        <v>153</v>
      </c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</row>
  </sheetData>
  <sortState ref="C7:AE172">
    <sortCondition descending="1" ref="AE7:AE172"/>
  </sortState>
  <mergeCells count="36">
    <mergeCell ref="B226:AE226"/>
    <mergeCell ref="AE4:AE6"/>
    <mergeCell ref="S4:U4"/>
    <mergeCell ref="S5:S6"/>
    <mergeCell ref="T5:U5"/>
    <mergeCell ref="V4:X4"/>
    <mergeCell ref="V5:V6"/>
    <mergeCell ref="W5:X5"/>
    <mergeCell ref="Y4:AA4"/>
    <mergeCell ref="AC5:AD5"/>
    <mergeCell ref="Y5:Y6"/>
    <mergeCell ref="Z5:AA5"/>
    <mergeCell ref="AB4:AD4"/>
    <mergeCell ref="AB5:AB6"/>
    <mergeCell ref="D5:D6"/>
    <mergeCell ref="E5:E6"/>
    <mergeCell ref="P5:P6"/>
    <mergeCell ref="Q5:R5"/>
    <mergeCell ref="P4:R4"/>
    <mergeCell ref="F4:F6"/>
    <mergeCell ref="B1:AD1"/>
    <mergeCell ref="A174:I174"/>
    <mergeCell ref="G5:G6"/>
    <mergeCell ref="H5:I5"/>
    <mergeCell ref="A4:A6"/>
    <mergeCell ref="B4:B6"/>
    <mergeCell ref="C4:E4"/>
    <mergeCell ref="G4:I4"/>
    <mergeCell ref="J4:L4"/>
    <mergeCell ref="M4:O4"/>
    <mergeCell ref="J5:J6"/>
    <mergeCell ref="K5:L5"/>
    <mergeCell ref="M5:M6"/>
    <mergeCell ref="N5:O5"/>
    <mergeCell ref="B2:AD2"/>
    <mergeCell ref="C5:C6"/>
  </mergeCells>
  <pageMargins left="0.15748031496062992" right="0.15748031496062992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5"/>
  <sheetViews>
    <sheetView topLeftCell="A16" zoomScaleNormal="100" zoomScaleSheetLayoutView="100" workbookViewId="0">
      <selection activeCell="AC14" sqref="AC14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5" max="6" width="8.7109375" customWidth="1"/>
    <col min="7" max="7" width="12.42578125" customWidth="1"/>
    <col min="8" max="8" width="11" customWidth="1"/>
    <col min="9" max="9" width="13.7109375" customWidth="1"/>
    <col min="10" max="10" width="11.7109375" hidden="1" customWidth="1" outlineLevel="1"/>
    <col min="11" max="11" width="10" hidden="1" customWidth="1" outlineLevel="1"/>
    <col min="12" max="12" width="13.140625" hidden="1" customWidth="1" outlineLevel="1"/>
    <col min="13" max="13" width="11.42578125" hidden="1" customWidth="1" outlineLevel="1"/>
    <col min="14" max="14" width="10.42578125" hidden="1" customWidth="1" outlineLevel="1"/>
    <col min="15" max="15" width="12.85546875" hidden="1" customWidth="1" outlineLevel="1"/>
    <col min="16" max="16" width="11.42578125" hidden="1" customWidth="1" outlineLevel="1"/>
    <col min="17" max="17" width="10.42578125" hidden="1" customWidth="1" outlineLevel="1"/>
    <col min="18" max="27" width="12.85546875" hidden="1" customWidth="1" outlineLevel="1"/>
    <col min="28" max="28" width="12.85546875" customWidth="1" collapsed="1"/>
    <col min="29" max="31" width="12.85546875" customWidth="1"/>
  </cols>
  <sheetData>
    <row r="1" spans="1:31">
      <c r="C1" s="250" t="s">
        <v>13</v>
      </c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</row>
    <row r="2" spans="1:31" ht="38.25" customHeight="1">
      <c r="C2" s="251" t="s">
        <v>108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</row>
    <row r="3" spans="1:31">
      <c r="O3" s="3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 t="s">
        <v>9</v>
      </c>
    </row>
    <row r="4" spans="1:31" ht="29.25" customHeight="1">
      <c r="A4" s="247" t="s">
        <v>0</v>
      </c>
      <c r="B4" s="247" t="s">
        <v>15</v>
      </c>
      <c r="C4" s="247" t="s">
        <v>1</v>
      </c>
      <c r="D4" s="247"/>
      <c r="E4" s="247"/>
      <c r="F4" s="282" t="s">
        <v>80</v>
      </c>
      <c r="G4" s="244" t="s">
        <v>10</v>
      </c>
      <c r="H4" s="244"/>
      <c r="I4" s="244"/>
      <c r="J4" s="244" t="s">
        <v>11</v>
      </c>
      <c r="K4" s="244"/>
      <c r="L4" s="244"/>
      <c r="M4" s="244" t="s">
        <v>12</v>
      </c>
      <c r="N4" s="244"/>
      <c r="O4" s="244"/>
      <c r="P4" s="253" t="s">
        <v>41</v>
      </c>
      <c r="Q4" s="253"/>
      <c r="R4" s="253"/>
      <c r="S4" s="253" t="s">
        <v>110</v>
      </c>
      <c r="T4" s="253"/>
      <c r="U4" s="253"/>
      <c r="V4" s="253" t="s">
        <v>121</v>
      </c>
      <c r="W4" s="253"/>
      <c r="X4" s="253"/>
      <c r="Y4" s="253" t="s">
        <v>141</v>
      </c>
      <c r="Z4" s="253"/>
      <c r="AA4" s="253"/>
      <c r="AB4" s="253" t="s">
        <v>142</v>
      </c>
      <c r="AC4" s="253"/>
      <c r="AD4" s="253"/>
      <c r="AE4" s="279" t="s">
        <v>109</v>
      </c>
    </row>
    <row r="5" spans="1:31" ht="13.5" customHeight="1">
      <c r="A5" s="247"/>
      <c r="B5" s="247"/>
      <c r="C5" s="247" t="s">
        <v>2</v>
      </c>
      <c r="D5" s="247" t="s">
        <v>3</v>
      </c>
      <c r="E5" s="247" t="s">
        <v>4</v>
      </c>
      <c r="F5" s="283"/>
      <c r="G5" s="245" t="s">
        <v>5</v>
      </c>
      <c r="H5" s="277" t="s">
        <v>14</v>
      </c>
      <c r="I5" s="278"/>
      <c r="J5" s="245" t="s">
        <v>5</v>
      </c>
      <c r="K5" s="277" t="s">
        <v>14</v>
      </c>
      <c r="L5" s="278"/>
      <c r="M5" s="245" t="s">
        <v>5</v>
      </c>
      <c r="N5" s="277" t="s">
        <v>14</v>
      </c>
      <c r="O5" s="278"/>
      <c r="P5" s="245" t="s">
        <v>5</v>
      </c>
      <c r="Q5" s="277" t="s">
        <v>14</v>
      </c>
      <c r="R5" s="278"/>
      <c r="S5" s="245" t="s">
        <v>5</v>
      </c>
      <c r="T5" s="277" t="s">
        <v>14</v>
      </c>
      <c r="U5" s="278"/>
      <c r="V5" s="245" t="s">
        <v>5</v>
      </c>
      <c r="W5" s="277" t="s">
        <v>14</v>
      </c>
      <c r="X5" s="278"/>
      <c r="Y5" s="245" t="s">
        <v>5</v>
      </c>
      <c r="Z5" s="277" t="s">
        <v>14</v>
      </c>
      <c r="AA5" s="278"/>
      <c r="AB5" s="245" t="s">
        <v>5</v>
      </c>
      <c r="AC5" s="277" t="s">
        <v>14</v>
      </c>
      <c r="AD5" s="278"/>
      <c r="AE5" s="280"/>
    </row>
    <row r="6" spans="1:31" ht="38.25">
      <c r="A6" s="247"/>
      <c r="B6" s="247"/>
      <c r="C6" s="247"/>
      <c r="D6" s="247"/>
      <c r="E6" s="247"/>
      <c r="F6" s="284"/>
      <c r="G6" s="245"/>
      <c r="H6" s="15" t="s">
        <v>6</v>
      </c>
      <c r="I6" s="15" t="s">
        <v>7</v>
      </c>
      <c r="J6" s="245"/>
      <c r="K6" s="15" t="s">
        <v>6</v>
      </c>
      <c r="L6" s="15" t="s">
        <v>7</v>
      </c>
      <c r="M6" s="245"/>
      <c r="N6" s="15" t="s">
        <v>6</v>
      </c>
      <c r="O6" s="15" t="s">
        <v>7</v>
      </c>
      <c r="P6" s="245"/>
      <c r="Q6" s="15" t="s">
        <v>6</v>
      </c>
      <c r="R6" s="15" t="s">
        <v>7</v>
      </c>
      <c r="S6" s="245"/>
      <c r="T6" s="15" t="s">
        <v>6</v>
      </c>
      <c r="U6" s="15" t="s">
        <v>7</v>
      </c>
      <c r="V6" s="245"/>
      <c r="W6" s="15" t="s">
        <v>6</v>
      </c>
      <c r="X6" s="15" t="s">
        <v>7</v>
      </c>
      <c r="Y6" s="245"/>
      <c r="Z6" s="15" t="s">
        <v>6</v>
      </c>
      <c r="AA6" s="15" t="s">
        <v>7</v>
      </c>
      <c r="AB6" s="245"/>
      <c r="AC6" s="15" t="s">
        <v>6</v>
      </c>
      <c r="AD6" s="15" t="s">
        <v>7</v>
      </c>
      <c r="AE6" s="281"/>
    </row>
    <row r="7" spans="1:31" ht="15" customHeight="1">
      <c r="A7" s="1">
        <v>1</v>
      </c>
      <c r="B7" s="1" t="s">
        <v>100</v>
      </c>
      <c r="C7" s="76" t="s">
        <v>90</v>
      </c>
      <c r="D7" s="76">
        <v>39</v>
      </c>
      <c r="E7" s="86"/>
      <c r="F7" s="83">
        <f>[1]МКД!$H$119</f>
        <v>18</v>
      </c>
      <c r="G7" s="23">
        <f t="shared" ref="G7:G31" si="0">I7+H7</f>
        <v>329.98</v>
      </c>
      <c r="H7" s="23">
        <f>91008/1000</f>
        <v>91.007999999999996</v>
      </c>
      <c r="I7" s="23">
        <f>238972/1000</f>
        <v>238.97200000000001</v>
      </c>
      <c r="J7" s="23">
        <f>(145604-5007)/1000</f>
        <v>140.59700000000001</v>
      </c>
      <c r="K7" s="23">
        <f>36544/1000</f>
        <v>36.543999999999997</v>
      </c>
      <c r="L7" s="23">
        <f>J7-K7</f>
        <v>104.05300000000001</v>
      </c>
      <c r="M7" s="23">
        <f>(145604-5007)/1000</f>
        <v>140.59700000000001</v>
      </c>
      <c r="N7" s="23">
        <f>36544/1000</f>
        <v>36.543999999999997</v>
      </c>
      <c r="O7" s="23">
        <f>M7-N7</f>
        <v>104.05300000000001</v>
      </c>
      <c r="P7" s="30">
        <f>(145604-5007)/1000</f>
        <v>140.59700000000001</v>
      </c>
      <c r="Q7" s="30">
        <f>36544/1000</f>
        <v>36.543999999999997</v>
      </c>
      <c r="R7" s="30">
        <f>P7-Q7</f>
        <v>104.05300000000001</v>
      </c>
      <c r="S7" s="5">
        <f>(145604-5007)/1000</f>
        <v>140.59700000000001</v>
      </c>
      <c r="T7" s="5">
        <f>36544/1000</f>
        <v>36.543999999999997</v>
      </c>
      <c r="U7" s="5">
        <f>S7-T7</f>
        <v>104.05300000000001</v>
      </c>
      <c r="V7" s="5">
        <f>(145604-5007)/1000</f>
        <v>140.59700000000001</v>
      </c>
      <c r="W7" s="5">
        <f>36544/1000</f>
        <v>36.543999999999997</v>
      </c>
      <c r="X7" s="5">
        <f>V7-W7</f>
        <v>104.05300000000001</v>
      </c>
      <c r="Y7" s="5">
        <f>(145604-5007)/1000</f>
        <v>140.59700000000001</v>
      </c>
      <c r="Z7" s="5">
        <f>36544/1000</f>
        <v>36.543999999999997</v>
      </c>
      <c r="AA7" s="5">
        <f>Y7-Z7</f>
        <v>104.05300000000001</v>
      </c>
      <c r="AB7" s="5">
        <f>(145604-5007)/1000</f>
        <v>140.59700000000001</v>
      </c>
      <c r="AC7" s="5">
        <f>36544/1000</f>
        <v>36.543999999999997</v>
      </c>
      <c r="AD7" s="5">
        <f>AB7-AC7</f>
        <v>104.05300000000001</v>
      </c>
      <c r="AE7" s="90">
        <f t="shared" ref="AE7:AE31" si="1">AB7/F7</f>
        <v>7.8109444444444449</v>
      </c>
    </row>
    <row r="8" spans="1:31">
      <c r="A8" s="1">
        <f>A7+1</f>
        <v>2</v>
      </c>
      <c r="B8" s="1" t="s">
        <v>100</v>
      </c>
      <c r="C8" s="1" t="s">
        <v>90</v>
      </c>
      <c r="D8" s="1">
        <v>37</v>
      </c>
      <c r="E8" s="29"/>
      <c r="F8" s="22">
        <f>[1]МКД!$H$117</f>
        <v>15</v>
      </c>
      <c r="G8" s="23">
        <f t="shared" si="0"/>
        <v>116.94200000000001</v>
      </c>
      <c r="H8" s="23">
        <f>46734/1000</f>
        <v>46.734000000000002</v>
      </c>
      <c r="I8" s="23">
        <f>(55254+14954)/1000</f>
        <v>70.207999999999998</v>
      </c>
      <c r="J8" s="23">
        <f>L8+K8</f>
        <v>116.94200000000001</v>
      </c>
      <c r="K8" s="23">
        <f>46734/1000</f>
        <v>46.734000000000002</v>
      </c>
      <c r="L8" s="23">
        <f>(55254+14954)/1000</f>
        <v>70.207999999999998</v>
      </c>
      <c r="M8" s="23">
        <f>O8+N8</f>
        <v>116.94200000000001</v>
      </c>
      <c r="N8" s="23">
        <f>46734/1000</f>
        <v>46.734000000000002</v>
      </c>
      <c r="O8" s="23">
        <f>(55254+14954)/1000</f>
        <v>70.207999999999998</v>
      </c>
      <c r="P8" s="30">
        <f>R8+Q8</f>
        <v>116.94200000000001</v>
      </c>
      <c r="Q8" s="30">
        <f>46734/1000</f>
        <v>46.734000000000002</v>
      </c>
      <c r="R8" s="30">
        <f>(55254+14954)/1000</f>
        <v>70.207999999999998</v>
      </c>
      <c r="S8" s="5">
        <f>U8+T8</f>
        <v>116.94200000000001</v>
      </c>
      <c r="T8" s="5">
        <f>46734/1000</f>
        <v>46.734000000000002</v>
      </c>
      <c r="U8" s="5">
        <f>(55254+14954)/1000</f>
        <v>70.207999999999998</v>
      </c>
      <c r="V8" s="5">
        <f>X8+W8</f>
        <v>116.94200000000001</v>
      </c>
      <c r="W8" s="5">
        <f>46734/1000</f>
        <v>46.734000000000002</v>
      </c>
      <c r="X8" s="5">
        <f>(55254+14954)/1000</f>
        <v>70.207999999999998</v>
      </c>
      <c r="Y8" s="5">
        <f>AA8+Z8</f>
        <v>116.94200000000001</v>
      </c>
      <c r="Z8" s="5">
        <f>46734/1000</f>
        <v>46.734000000000002</v>
      </c>
      <c r="AA8" s="5">
        <f>(55254+14954)/1000</f>
        <v>70.207999999999998</v>
      </c>
      <c r="AB8" s="5">
        <f>AD8+AC8</f>
        <v>116.94200000000001</v>
      </c>
      <c r="AC8" s="5">
        <f>46734/1000</f>
        <v>46.734000000000002</v>
      </c>
      <c r="AD8" s="5">
        <f>(55254+14954)/1000</f>
        <v>70.207999999999998</v>
      </c>
      <c r="AE8" s="43">
        <f t="shared" si="1"/>
        <v>7.7961333333333336</v>
      </c>
    </row>
    <row r="9" spans="1:31">
      <c r="A9" s="1">
        <f t="shared" ref="A9:A31" si="2">A8+1</f>
        <v>3</v>
      </c>
      <c r="B9" s="1" t="s">
        <v>100</v>
      </c>
      <c r="C9" s="76" t="s">
        <v>22</v>
      </c>
      <c r="D9" s="76">
        <v>12</v>
      </c>
      <c r="E9" s="86"/>
      <c r="F9" s="83">
        <f>[1]МКД!$H$352</f>
        <v>96</v>
      </c>
      <c r="G9" s="23">
        <f t="shared" si="0"/>
        <v>1386.8780000000002</v>
      </c>
      <c r="H9" s="23">
        <f>505466/1000</f>
        <v>505.46600000000001</v>
      </c>
      <c r="I9" s="23">
        <f>(891986-10574)/1000</f>
        <v>881.41200000000003</v>
      </c>
      <c r="J9" s="23">
        <f>(670395+283)/1000</f>
        <v>670.678</v>
      </c>
      <c r="K9" s="23">
        <f>251977/1000</f>
        <v>251.977</v>
      </c>
      <c r="L9" s="23">
        <f>J9-K9</f>
        <v>418.70100000000002</v>
      </c>
      <c r="M9" s="23">
        <f>(670395+283)/1000</f>
        <v>670.678</v>
      </c>
      <c r="N9" s="23">
        <f>251977/1000</f>
        <v>251.977</v>
      </c>
      <c r="O9" s="23">
        <f>M9-N9</f>
        <v>418.70100000000002</v>
      </c>
      <c r="P9" s="30">
        <f>(670395+283)/1000</f>
        <v>670.678</v>
      </c>
      <c r="Q9" s="30">
        <f>251977/1000</f>
        <v>251.977</v>
      </c>
      <c r="R9" s="30">
        <f>P9-Q9</f>
        <v>418.70100000000002</v>
      </c>
      <c r="S9" s="5">
        <f>(670395+283)/1000</f>
        <v>670.678</v>
      </c>
      <c r="T9" s="5">
        <f>251977/1000</f>
        <v>251.977</v>
      </c>
      <c r="U9" s="5">
        <f>S9-T9</f>
        <v>418.70100000000002</v>
      </c>
      <c r="V9" s="5">
        <f>(670395+283)/1000</f>
        <v>670.678</v>
      </c>
      <c r="W9" s="5">
        <f>251977/1000</f>
        <v>251.977</v>
      </c>
      <c r="X9" s="5">
        <f>V9-W9</f>
        <v>418.70100000000002</v>
      </c>
      <c r="Y9" s="5">
        <f>(670395+283)/1000</f>
        <v>670.678</v>
      </c>
      <c r="Z9" s="5">
        <f>251977/1000</f>
        <v>251.977</v>
      </c>
      <c r="AA9" s="5">
        <f>Y9-Z9</f>
        <v>418.70100000000002</v>
      </c>
      <c r="AB9" s="85">
        <f>(670395+283)/1000</f>
        <v>670.678</v>
      </c>
      <c r="AC9" s="85">
        <f>251977/1000</f>
        <v>251.977</v>
      </c>
      <c r="AD9" s="85">
        <f>AB9-AC9</f>
        <v>418.70100000000002</v>
      </c>
      <c r="AE9" s="43">
        <f t="shared" si="1"/>
        <v>6.9862291666666669</v>
      </c>
    </row>
    <row r="10" spans="1:31">
      <c r="A10" s="1">
        <f t="shared" si="2"/>
        <v>4</v>
      </c>
      <c r="B10" s="1" t="s">
        <v>100</v>
      </c>
      <c r="C10" s="1" t="s">
        <v>22</v>
      </c>
      <c r="D10" s="1">
        <v>10</v>
      </c>
      <c r="E10" s="29"/>
      <c r="F10" s="22">
        <f>[1]МКД!$H$32</f>
        <v>72</v>
      </c>
      <c r="G10" s="23">
        <f t="shared" si="0"/>
        <v>733.64200000000005</v>
      </c>
      <c r="H10" s="23">
        <f>301703/1000</f>
        <v>301.70299999999997</v>
      </c>
      <c r="I10" s="23">
        <f>(419594+12345)/1000</f>
        <v>431.93900000000002</v>
      </c>
      <c r="J10" s="23">
        <f>(388704+19614)/1000</f>
        <v>408.31799999999998</v>
      </c>
      <c r="K10" s="23">
        <f>180430/1000</f>
        <v>180.43</v>
      </c>
      <c r="L10" s="23">
        <f>J10-K10</f>
        <v>227.88799999999998</v>
      </c>
      <c r="M10" s="23">
        <f>(388704+19614)/1000</f>
        <v>408.31799999999998</v>
      </c>
      <c r="N10" s="23">
        <f>180430/1000</f>
        <v>180.43</v>
      </c>
      <c r="O10" s="23">
        <f>M10-N10</f>
        <v>227.88799999999998</v>
      </c>
      <c r="P10" s="30">
        <f>(388704+19614)/1000</f>
        <v>408.31799999999998</v>
      </c>
      <c r="Q10" s="30">
        <f>180430/1000</f>
        <v>180.43</v>
      </c>
      <c r="R10" s="30">
        <f>P10-Q10</f>
        <v>227.88799999999998</v>
      </c>
      <c r="S10" s="5">
        <f>(388704+19614)/1000</f>
        <v>408.31799999999998</v>
      </c>
      <c r="T10" s="5">
        <f>180430/1000</f>
        <v>180.43</v>
      </c>
      <c r="U10" s="5">
        <f>S10-T10</f>
        <v>227.88799999999998</v>
      </c>
      <c r="V10" s="5">
        <f>(388704+19614)/1000</f>
        <v>408.31799999999998</v>
      </c>
      <c r="W10" s="5">
        <f>180430/1000</f>
        <v>180.43</v>
      </c>
      <c r="X10" s="5">
        <f>V10-W10</f>
        <v>227.88799999999998</v>
      </c>
      <c r="Y10" s="5">
        <f>(388704+19614)/1000</f>
        <v>408.31799999999998</v>
      </c>
      <c r="Z10" s="5">
        <f>180430/1000</f>
        <v>180.43</v>
      </c>
      <c r="AA10" s="5">
        <f>Y10-Z10</f>
        <v>227.88799999999998</v>
      </c>
      <c r="AB10" s="5">
        <f>(388704+19614)/1000</f>
        <v>408.31799999999998</v>
      </c>
      <c r="AC10" s="5">
        <f>180430/1000</f>
        <v>180.43</v>
      </c>
      <c r="AD10" s="5">
        <f>AB10-AC10</f>
        <v>227.88799999999998</v>
      </c>
      <c r="AE10" s="43">
        <f t="shared" si="1"/>
        <v>5.6710833333333328</v>
      </c>
    </row>
    <row r="11" spans="1:31">
      <c r="A11" s="1">
        <f t="shared" si="2"/>
        <v>5</v>
      </c>
      <c r="B11" s="1" t="s">
        <v>100</v>
      </c>
      <c r="C11" s="39" t="s">
        <v>74</v>
      </c>
      <c r="D11" s="39">
        <v>3</v>
      </c>
      <c r="E11" s="78"/>
      <c r="F11" s="22">
        <f>[1]МКД!$H$76</f>
        <v>72</v>
      </c>
      <c r="G11" s="5">
        <f t="shared" si="0"/>
        <v>661.61099999999999</v>
      </c>
      <c r="H11" s="5">
        <f>206252/1000</f>
        <v>206.25200000000001</v>
      </c>
      <c r="I11" s="5">
        <f>(416138+39221)/1000</f>
        <v>455.35899999999998</v>
      </c>
      <c r="J11" s="5">
        <f>(256967+55743)/1000</f>
        <v>312.70999999999998</v>
      </c>
      <c r="K11" s="5">
        <f>107968/1000</f>
        <v>107.968</v>
      </c>
      <c r="L11" s="5">
        <f>J11-K11</f>
        <v>204.74199999999996</v>
      </c>
      <c r="M11" s="5">
        <f>(256967+55743)/1000</f>
        <v>312.70999999999998</v>
      </c>
      <c r="N11" s="5">
        <f>107968/1000</f>
        <v>107.968</v>
      </c>
      <c r="O11" s="5">
        <f>M11-N11</f>
        <v>204.74199999999996</v>
      </c>
      <c r="P11" s="40">
        <f>(256967+55743)/1000</f>
        <v>312.70999999999998</v>
      </c>
      <c r="Q11" s="40">
        <f>107968/1000</f>
        <v>107.968</v>
      </c>
      <c r="R11" s="40">
        <f>P11-Q11</f>
        <v>204.74199999999996</v>
      </c>
      <c r="S11" s="5">
        <f>(256967+55743)/1000</f>
        <v>312.70999999999998</v>
      </c>
      <c r="T11" s="5">
        <f>107968/1000</f>
        <v>107.968</v>
      </c>
      <c r="U11" s="5">
        <f>S11-T11</f>
        <v>204.74199999999996</v>
      </c>
      <c r="V11" s="5">
        <f>(256967+55743)/1000</f>
        <v>312.70999999999998</v>
      </c>
      <c r="W11" s="5">
        <f>107968/1000</f>
        <v>107.968</v>
      </c>
      <c r="X11" s="5">
        <f>V11-W11</f>
        <v>204.74199999999996</v>
      </c>
      <c r="Y11" s="5">
        <f>(256967+55743)/1000</f>
        <v>312.70999999999998</v>
      </c>
      <c r="Z11" s="5">
        <f>107968/1000</f>
        <v>107.968</v>
      </c>
      <c r="AA11" s="5">
        <f>Y11-Z11</f>
        <v>204.74199999999996</v>
      </c>
      <c r="AB11" s="5">
        <f>(256967+55743)/1000</f>
        <v>312.70999999999998</v>
      </c>
      <c r="AC11" s="5">
        <f>107968/1000</f>
        <v>107.968</v>
      </c>
      <c r="AD11" s="5">
        <f>AB11-AC11</f>
        <v>204.74199999999996</v>
      </c>
      <c r="AE11" s="43">
        <f t="shared" si="1"/>
        <v>4.3431944444444444</v>
      </c>
    </row>
    <row r="12" spans="1:31">
      <c r="A12" s="1">
        <f t="shared" si="2"/>
        <v>6</v>
      </c>
      <c r="B12" s="1" t="s">
        <v>100</v>
      </c>
      <c r="C12" s="1" t="s">
        <v>90</v>
      </c>
      <c r="D12" s="1">
        <v>41</v>
      </c>
      <c r="E12" s="29"/>
      <c r="F12" s="22">
        <f>[1]МКД!$H$120</f>
        <v>18</v>
      </c>
      <c r="G12" s="23">
        <f t="shared" si="0"/>
        <v>183.62800000000001</v>
      </c>
      <c r="H12" s="23">
        <f>54917/1000</f>
        <v>54.917000000000002</v>
      </c>
      <c r="I12" s="23">
        <f>(121916+6795)/1000</f>
        <v>128.71100000000001</v>
      </c>
      <c r="J12" s="23">
        <f>(48170+11382)/1000</f>
        <v>59.552</v>
      </c>
      <c r="K12" s="23">
        <f>15630/1000</f>
        <v>15.63</v>
      </c>
      <c r="L12" s="23">
        <f>J12-K12</f>
        <v>43.921999999999997</v>
      </c>
      <c r="M12" s="23">
        <f>(48170+11382)/1000</f>
        <v>59.552</v>
      </c>
      <c r="N12" s="23">
        <f>15630/1000</f>
        <v>15.63</v>
      </c>
      <c r="O12" s="23">
        <f>M12-N12</f>
        <v>43.921999999999997</v>
      </c>
      <c r="P12" s="30">
        <f>(48170+11382)/1000</f>
        <v>59.552</v>
      </c>
      <c r="Q12" s="30">
        <f>15630/1000</f>
        <v>15.63</v>
      </c>
      <c r="R12" s="30">
        <f>P12-Q12</f>
        <v>43.921999999999997</v>
      </c>
      <c r="S12" s="5">
        <f>(48170+11382)/1000</f>
        <v>59.552</v>
      </c>
      <c r="T12" s="5">
        <f>15630/1000</f>
        <v>15.63</v>
      </c>
      <c r="U12" s="5">
        <f>S12-T12</f>
        <v>43.921999999999997</v>
      </c>
      <c r="V12" s="5">
        <f>(48170+11382)/1000</f>
        <v>59.552</v>
      </c>
      <c r="W12" s="5">
        <f>15630/1000</f>
        <v>15.63</v>
      </c>
      <c r="X12" s="5">
        <f>V12-W12</f>
        <v>43.921999999999997</v>
      </c>
      <c r="Y12" s="5">
        <f>(48170+11382)/1000</f>
        <v>59.552</v>
      </c>
      <c r="Z12" s="5">
        <f>15630/1000</f>
        <v>15.63</v>
      </c>
      <c r="AA12" s="5">
        <f>Y12-Z12</f>
        <v>43.921999999999997</v>
      </c>
      <c r="AB12" s="5">
        <f>(48170+11382)/1000</f>
        <v>59.552</v>
      </c>
      <c r="AC12" s="5">
        <f>15630/1000</f>
        <v>15.63</v>
      </c>
      <c r="AD12" s="5">
        <f>AB12-AC12</f>
        <v>43.921999999999997</v>
      </c>
      <c r="AE12" s="43">
        <f t="shared" si="1"/>
        <v>3.3084444444444445</v>
      </c>
    </row>
    <row r="13" spans="1:31" ht="15" customHeight="1">
      <c r="A13" s="1">
        <f t="shared" si="2"/>
        <v>7</v>
      </c>
      <c r="B13" s="1" t="s">
        <v>100</v>
      </c>
      <c r="C13" s="1" t="s">
        <v>31</v>
      </c>
      <c r="D13" s="1">
        <v>10</v>
      </c>
      <c r="E13" s="1"/>
      <c r="F13" s="22">
        <f>[1]МКД!$H$13</f>
        <v>13</v>
      </c>
      <c r="G13" s="23">
        <f t="shared" si="0"/>
        <v>36.846000000000004</v>
      </c>
      <c r="H13" s="23">
        <f>9421/1000</f>
        <v>9.4209999999999994</v>
      </c>
      <c r="I13" s="23">
        <f>(28971-1546)/1000</f>
        <v>27.425000000000001</v>
      </c>
      <c r="J13" s="23">
        <f>L13+K13</f>
        <v>36.846000000000004</v>
      </c>
      <c r="K13" s="23">
        <f>9421/1000</f>
        <v>9.4209999999999994</v>
      </c>
      <c r="L13" s="23">
        <f>(28971-1546)/1000</f>
        <v>27.425000000000001</v>
      </c>
      <c r="M13" s="23">
        <f>O13+N13</f>
        <v>36.846000000000004</v>
      </c>
      <c r="N13" s="23">
        <f>9421/1000</f>
        <v>9.4209999999999994</v>
      </c>
      <c r="O13" s="23">
        <f>(28971-1546)/1000</f>
        <v>27.425000000000001</v>
      </c>
      <c r="P13" s="30">
        <f>R13+Q13</f>
        <v>36.846000000000004</v>
      </c>
      <c r="Q13" s="30">
        <f>9421/1000</f>
        <v>9.4209999999999994</v>
      </c>
      <c r="R13" s="30">
        <f>(28971-1546)/1000</f>
        <v>27.425000000000001</v>
      </c>
      <c r="S13" s="5">
        <f>U13+T13</f>
        <v>36.846000000000004</v>
      </c>
      <c r="T13" s="5">
        <f>9421/1000</f>
        <v>9.4209999999999994</v>
      </c>
      <c r="U13" s="5">
        <f>(28971-1546)/1000</f>
        <v>27.425000000000001</v>
      </c>
      <c r="V13" s="5">
        <f>X13+W13</f>
        <v>36.846000000000004</v>
      </c>
      <c r="W13" s="5">
        <f>9421/1000</f>
        <v>9.4209999999999994</v>
      </c>
      <c r="X13" s="5">
        <f>(28971-1546)/1000</f>
        <v>27.425000000000001</v>
      </c>
      <c r="Y13" s="5">
        <f>AA13+Z13</f>
        <v>36.846000000000004</v>
      </c>
      <c r="Z13" s="5">
        <f>9421/1000</f>
        <v>9.4209999999999994</v>
      </c>
      <c r="AA13" s="5">
        <f>(28971-1546)/1000</f>
        <v>27.425000000000001</v>
      </c>
      <c r="AB13" s="5">
        <f>AD13+AC13</f>
        <v>36.846000000000004</v>
      </c>
      <c r="AC13" s="5">
        <f>9421/1000</f>
        <v>9.4209999999999994</v>
      </c>
      <c r="AD13" s="5">
        <f>(28971-1546)/1000</f>
        <v>27.425000000000001</v>
      </c>
      <c r="AE13" s="43">
        <f t="shared" si="1"/>
        <v>2.8343076923076924</v>
      </c>
    </row>
    <row r="14" spans="1:31">
      <c r="A14" s="1">
        <f t="shared" si="2"/>
        <v>8</v>
      </c>
      <c r="B14" s="1" t="s">
        <v>100</v>
      </c>
      <c r="C14" s="1" t="s">
        <v>31</v>
      </c>
      <c r="D14" s="1">
        <v>8</v>
      </c>
      <c r="E14" s="1"/>
      <c r="F14" s="22">
        <f>[1]МКД!$H$12</f>
        <v>12</v>
      </c>
      <c r="G14" s="23">
        <f t="shared" si="0"/>
        <v>27.616</v>
      </c>
      <c r="H14" s="31">
        <f>8130/1000</f>
        <v>8.1300000000000008</v>
      </c>
      <c r="I14" s="23">
        <f>(17294+2192)/1000</f>
        <v>19.486000000000001</v>
      </c>
      <c r="J14" s="23">
        <f>L14+K14</f>
        <v>27.616</v>
      </c>
      <c r="K14" s="23">
        <f>8130/1000</f>
        <v>8.1300000000000008</v>
      </c>
      <c r="L14" s="23">
        <f>(17294+2192)/1000</f>
        <v>19.486000000000001</v>
      </c>
      <c r="M14" s="23">
        <f>O14+N14</f>
        <v>27.616</v>
      </c>
      <c r="N14" s="23">
        <f>8130/1000</f>
        <v>8.1300000000000008</v>
      </c>
      <c r="O14" s="23">
        <f>(17294+2192)/1000</f>
        <v>19.486000000000001</v>
      </c>
      <c r="P14" s="30">
        <f>R14+Q14</f>
        <v>27.616</v>
      </c>
      <c r="Q14" s="30">
        <f>8130/1000</f>
        <v>8.1300000000000008</v>
      </c>
      <c r="R14" s="30">
        <f>(17294+2192)/1000</f>
        <v>19.486000000000001</v>
      </c>
      <c r="S14" s="5">
        <f>U14+T14</f>
        <v>27.616</v>
      </c>
      <c r="T14" s="5">
        <f>8130/1000</f>
        <v>8.1300000000000008</v>
      </c>
      <c r="U14" s="5">
        <f>(17294+2192)/1000</f>
        <v>19.486000000000001</v>
      </c>
      <c r="V14" s="5">
        <f>X14+W14</f>
        <v>27.616</v>
      </c>
      <c r="W14" s="5">
        <f>8130/1000</f>
        <v>8.1300000000000008</v>
      </c>
      <c r="X14" s="5">
        <f>(17294+2192)/1000</f>
        <v>19.486000000000001</v>
      </c>
      <c r="Y14" s="5">
        <f>AA14+Z14</f>
        <v>27.616</v>
      </c>
      <c r="Z14" s="5">
        <f>8130/1000</f>
        <v>8.1300000000000008</v>
      </c>
      <c r="AA14" s="5">
        <f>(17294+2192)/1000</f>
        <v>19.486000000000001</v>
      </c>
      <c r="AB14" s="5">
        <f>AD14+AC14</f>
        <v>27.616</v>
      </c>
      <c r="AC14" s="5">
        <f>8130/1000</f>
        <v>8.1300000000000008</v>
      </c>
      <c r="AD14" s="5">
        <f>(17294+2192)/1000</f>
        <v>19.486000000000001</v>
      </c>
      <c r="AE14" s="43">
        <f t="shared" si="1"/>
        <v>2.3013333333333335</v>
      </c>
    </row>
    <row r="15" spans="1:31">
      <c r="A15" s="1">
        <f t="shared" si="2"/>
        <v>9</v>
      </c>
      <c r="B15" s="1" t="s">
        <v>100</v>
      </c>
      <c r="C15" s="1" t="s">
        <v>19</v>
      </c>
      <c r="D15" s="1">
        <v>20</v>
      </c>
      <c r="E15" s="1"/>
      <c r="F15" s="77">
        <f>[1]МКД!$H$168</f>
        <v>19</v>
      </c>
      <c r="G15" s="23">
        <f t="shared" si="0"/>
        <v>149.64100000000002</v>
      </c>
      <c r="H15" s="23">
        <f>62220/1000</f>
        <v>62.22</v>
      </c>
      <c r="I15" s="23">
        <f>(74368+13053)/1000</f>
        <v>87.421000000000006</v>
      </c>
      <c r="J15" s="23">
        <f>(24550+15290)/1000</f>
        <v>39.840000000000003</v>
      </c>
      <c r="K15" s="23">
        <f>19716/1000</f>
        <v>19.716000000000001</v>
      </c>
      <c r="L15" s="23">
        <f>J15-K15</f>
        <v>20.124000000000002</v>
      </c>
      <c r="M15" s="23">
        <f>(24550+15290)/1000</f>
        <v>39.840000000000003</v>
      </c>
      <c r="N15" s="23">
        <f>19716/1000</f>
        <v>19.716000000000001</v>
      </c>
      <c r="O15" s="23">
        <f>M15-N15</f>
        <v>20.124000000000002</v>
      </c>
      <c r="P15" s="30">
        <f>(24550+15290)/1000</f>
        <v>39.840000000000003</v>
      </c>
      <c r="Q15" s="30">
        <f>19716/1000</f>
        <v>19.716000000000001</v>
      </c>
      <c r="R15" s="30">
        <f>P15-Q15</f>
        <v>20.124000000000002</v>
      </c>
      <c r="S15" s="5">
        <f>(24550+15290)/1000</f>
        <v>39.840000000000003</v>
      </c>
      <c r="T15" s="5">
        <f>19716/1000</f>
        <v>19.716000000000001</v>
      </c>
      <c r="U15" s="5">
        <f>S15-T15</f>
        <v>20.124000000000002</v>
      </c>
      <c r="V15" s="5">
        <f>(24550+15290)/1000</f>
        <v>39.840000000000003</v>
      </c>
      <c r="W15" s="5">
        <f>19716/1000</f>
        <v>19.716000000000001</v>
      </c>
      <c r="X15" s="5">
        <f>V15-W15</f>
        <v>20.124000000000002</v>
      </c>
      <c r="Y15" s="5">
        <f>(24550+15290)/1000</f>
        <v>39.840000000000003</v>
      </c>
      <c r="Z15" s="5">
        <f>19716/1000</f>
        <v>19.716000000000001</v>
      </c>
      <c r="AA15" s="5">
        <f>Y15-Z15</f>
        <v>20.124000000000002</v>
      </c>
      <c r="AB15" s="5">
        <f>(24550+15290)/1000</f>
        <v>39.840000000000003</v>
      </c>
      <c r="AC15" s="5">
        <f>19716/1000</f>
        <v>19.716000000000001</v>
      </c>
      <c r="AD15" s="5">
        <f>AB15-AC15</f>
        <v>20.124000000000002</v>
      </c>
      <c r="AE15" s="43">
        <f t="shared" si="1"/>
        <v>2.0968421052631583</v>
      </c>
    </row>
    <row r="16" spans="1:31">
      <c r="A16" s="1">
        <f t="shared" si="2"/>
        <v>10</v>
      </c>
      <c r="B16" s="1" t="s">
        <v>100</v>
      </c>
      <c r="C16" s="1" t="s">
        <v>90</v>
      </c>
      <c r="D16" s="1">
        <v>33</v>
      </c>
      <c r="E16" s="29"/>
      <c r="F16" s="22">
        <f>[1]МКД!$H$115</f>
        <v>18</v>
      </c>
      <c r="G16" s="23">
        <f t="shared" si="0"/>
        <v>123.69</v>
      </c>
      <c r="H16" s="23">
        <f>49229/1000</f>
        <v>49.228999999999999</v>
      </c>
      <c r="I16" s="23">
        <f>(60587+13874)/1000</f>
        <v>74.460999999999999</v>
      </c>
      <c r="J16" s="23">
        <f>(19050+16748)/1000</f>
        <v>35.798000000000002</v>
      </c>
      <c r="K16" s="23">
        <f>16930/1000</f>
        <v>16.93</v>
      </c>
      <c r="L16" s="23">
        <f>J16-K16</f>
        <v>18.868000000000002</v>
      </c>
      <c r="M16" s="23">
        <f>(19050+16748)/1000</f>
        <v>35.798000000000002</v>
      </c>
      <c r="N16" s="23">
        <f>16930/1000</f>
        <v>16.93</v>
      </c>
      <c r="O16" s="23">
        <f>M16-N16</f>
        <v>18.868000000000002</v>
      </c>
      <c r="P16" s="30">
        <f>(19050+16748)/1000</f>
        <v>35.798000000000002</v>
      </c>
      <c r="Q16" s="30">
        <f>16930/1000</f>
        <v>16.93</v>
      </c>
      <c r="R16" s="30">
        <f>P16-Q16</f>
        <v>18.868000000000002</v>
      </c>
      <c r="S16" s="5">
        <f>(19050+16748)/1000</f>
        <v>35.798000000000002</v>
      </c>
      <c r="T16" s="5">
        <f>16930/1000</f>
        <v>16.93</v>
      </c>
      <c r="U16" s="5">
        <f>S16-T16</f>
        <v>18.868000000000002</v>
      </c>
      <c r="V16" s="5">
        <f>(19050+16748)/1000</f>
        <v>35.798000000000002</v>
      </c>
      <c r="W16" s="5">
        <f>16930/1000</f>
        <v>16.93</v>
      </c>
      <c r="X16" s="5">
        <f>V16-W16</f>
        <v>18.868000000000002</v>
      </c>
      <c r="Y16" s="5">
        <f>(19050+16748)/1000</f>
        <v>35.798000000000002</v>
      </c>
      <c r="Z16" s="5">
        <f>16930/1000</f>
        <v>16.93</v>
      </c>
      <c r="AA16" s="5">
        <f>Y16-Z16</f>
        <v>18.868000000000002</v>
      </c>
      <c r="AB16" s="5">
        <f>(19050+16748)/1000</f>
        <v>35.798000000000002</v>
      </c>
      <c r="AC16" s="5">
        <f>16930/1000</f>
        <v>16.93</v>
      </c>
      <c r="AD16" s="5">
        <f>AB16-AC16</f>
        <v>18.868000000000002</v>
      </c>
      <c r="AE16" s="43">
        <f t="shared" si="1"/>
        <v>1.988777777777778</v>
      </c>
    </row>
    <row r="17" spans="1:31">
      <c r="A17" s="1">
        <f t="shared" si="2"/>
        <v>11</v>
      </c>
      <c r="B17" s="1" t="s">
        <v>100</v>
      </c>
      <c r="C17" s="1" t="s">
        <v>90</v>
      </c>
      <c r="D17" s="1">
        <v>43</v>
      </c>
      <c r="E17" s="29"/>
      <c r="F17" s="22">
        <f>[1]МКД!$H$121</f>
        <v>35</v>
      </c>
      <c r="G17" s="23">
        <f t="shared" si="0"/>
        <v>94.287999999999997</v>
      </c>
      <c r="H17" s="23">
        <f>19694/1000</f>
        <v>19.693999999999999</v>
      </c>
      <c r="I17" s="23">
        <f>(13145+61449)/1000</f>
        <v>74.593999999999994</v>
      </c>
      <c r="J17" s="23">
        <f>(6549+61449)/1000</f>
        <v>67.998000000000005</v>
      </c>
      <c r="K17" s="23">
        <f>19694/1000</f>
        <v>19.693999999999999</v>
      </c>
      <c r="L17" s="23">
        <f>J17-K17</f>
        <v>48.304000000000002</v>
      </c>
      <c r="M17" s="23">
        <f>(6549+61449)/1000</f>
        <v>67.998000000000005</v>
      </c>
      <c r="N17" s="23">
        <f>19694/1000</f>
        <v>19.693999999999999</v>
      </c>
      <c r="O17" s="23">
        <f>M17-N17</f>
        <v>48.304000000000002</v>
      </c>
      <c r="P17" s="30">
        <f>(6549+61449)/1000</f>
        <v>67.998000000000005</v>
      </c>
      <c r="Q17" s="30">
        <f>19694/1000</f>
        <v>19.693999999999999</v>
      </c>
      <c r="R17" s="30">
        <f>P17-Q17</f>
        <v>48.304000000000002</v>
      </c>
      <c r="S17" s="5">
        <f>(6549+61449)/1000</f>
        <v>67.998000000000005</v>
      </c>
      <c r="T17" s="5">
        <f>19694/1000</f>
        <v>19.693999999999999</v>
      </c>
      <c r="U17" s="5">
        <f>S17-T17</f>
        <v>48.304000000000002</v>
      </c>
      <c r="V17" s="5">
        <f>(6549+61449)/1000</f>
        <v>67.998000000000005</v>
      </c>
      <c r="W17" s="5">
        <f>19694/1000</f>
        <v>19.693999999999999</v>
      </c>
      <c r="X17" s="5">
        <f>V17-W17</f>
        <v>48.304000000000002</v>
      </c>
      <c r="Y17" s="5">
        <f>(6549+61449)/1000</f>
        <v>67.998000000000005</v>
      </c>
      <c r="Z17" s="5">
        <f>19694/1000</f>
        <v>19.693999999999999</v>
      </c>
      <c r="AA17" s="5">
        <f>Y17-Z17</f>
        <v>48.304000000000002</v>
      </c>
      <c r="AB17" s="5">
        <f>(6549+61449)/1000</f>
        <v>67.998000000000005</v>
      </c>
      <c r="AC17" s="5">
        <f>19694/1000</f>
        <v>19.693999999999999</v>
      </c>
      <c r="AD17" s="5">
        <f>AB17-AC17</f>
        <v>48.304000000000002</v>
      </c>
      <c r="AE17" s="43">
        <f t="shared" si="1"/>
        <v>1.9428000000000001</v>
      </c>
    </row>
    <row r="18" spans="1:31" s="41" customFormat="1">
      <c r="A18" s="1">
        <f t="shared" si="2"/>
        <v>12</v>
      </c>
      <c r="B18" s="39" t="s">
        <v>100</v>
      </c>
      <c r="C18" s="1" t="s">
        <v>19</v>
      </c>
      <c r="D18" s="1">
        <v>33</v>
      </c>
      <c r="E18" s="29"/>
      <c r="F18" s="22">
        <f>[1]МКД!$H$170</f>
        <v>60</v>
      </c>
      <c r="G18" s="23">
        <f t="shared" si="0"/>
        <v>249.45299999999997</v>
      </c>
      <c r="H18" s="23">
        <f>72460/1000</f>
        <v>72.459999999999994</v>
      </c>
      <c r="I18" s="23">
        <f>(188534-11541)/1000</f>
        <v>176.99299999999999</v>
      </c>
      <c r="J18" s="23">
        <f>(119291-5709)/1000</f>
        <v>113.58199999999999</v>
      </c>
      <c r="K18" s="23">
        <f>37533/1000</f>
        <v>37.533000000000001</v>
      </c>
      <c r="L18" s="23">
        <f>J18-K18</f>
        <v>76.048999999999992</v>
      </c>
      <c r="M18" s="23">
        <f>(119291-5709)/1000</f>
        <v>113.58199999999999</v>
      </c>
      <c r="N18" s="23">
        <f>37533/1000</f>
        <v>37.533000000000001</v>
      </c>
      <c r="O18" s="23">
        <f>M18-N18</f>
        <v>76.048999999999992</v>
      </c>
      <c r="P18" s="30">
        <f>(119291-5709)/1000</f>
        <v>113.58199999999999</v>
      </c>
      <c r="Q18" s="30">
        <f>37533/1000</f>
        <v>37.533000000000001</v>
      </c>
      <c r="R18" s="30">
        <f>P18-Q18</f>
        <v>76.048999999999992</v>
      </c>
      <c r="S18" s="5">
        <f>(119291-5709)/1000</f>
        <v>113.58199999999999</v>
      </c>
      <c r="T18" s="5">
        <f>37533/1000</f>
        <v>37.533000000000001</v>
      </c>
      <c r="U18" s="5">
        <f>S18-T18</f>
        <v>76.048999999999992</v>
      </c>
      <c r="V18" s="5">
        <f>(119291-5709)/1000</f>
        <v>113.58199999999999</v>
      </c>
      <c r="W18" s="5">
        <f>37533/1000</f>
        <v>37.533000000000001</v>
      </c>
      <c r="X18" s="5">
        <f>V18-W18</f>
        <v>76.048999999999992</v>
      </c>
      <c r="Y18" s="5">
        <f>(119291-5709)/1000</f>
        <v>113.58199999999999</v>
      </c>
      <c r="Z18" s="5">
        <f>37533/1000</f>
        <v>37.533000000000001</v>
      </c>
      <c r="AA18" s="5">
        <f>Y18-Z18</f>
        <v>76.048999999999992</v>
      </c>
      <c r="AB18" s="5">
        <f>(119291-5709)/1000</f>
        <v>113.58199999999999</v>
      </c>
      <c r="AC18" s="5">
        <f>37533/1000</f>
        <v>37.533000000000001</v>
      </c>
      <c r="AD18" s="5">
        <f>AB18-AC18</f>
        <v>76.048999999999992</v>
      </c>
      <c r="AE18" s="43">
        <f t="shared" si="1"/>
        <v>1.8930333333333331</v>
      </c>
    </row>
    <row r="19" spans="1:31" ht="15" customHeight="1">
      <c r="A19" s="1">
        <f t="shared" si="2"/>
        <v>13</v>
      </c>
      <c r="B19" s="1" t="s">
        <v>100</v>
      </c>
      <c r="C19" s="1" t="s">
        <v>90</v>
      </c>
      <c r="D19" s="1">
        <v>31</v>
      </c>
      <c r="E19" s="29"/>
      <c r="F19" s="22">
        <f>[1]МКД!$H$114</f>
        <v>18</v>
      </c>
      <c r="G19" s="23">
        <f t="shared" si="0"/>
        <v>24.494999999999997</v>
      </c>
      <c r="H19" s="23">
        <f>11453/1000</f>
        <v>11.452999999999999</v>
      </c>
      <c r="I19" s="23">
        <f>(8691+4351)/1000</f>
        <v>13.042</v>
      </c>
      <c r="J19" s="23">
        <f>L19+K19</f>
        <v>24.494999999999997</v>
      </c>
      <c r="K19" s="23">
        <f>11453/1000</f>
        <v>11.452999999999999</v>
      </c>
      <c r="L19" s="23">
        <f>(8691+4351)/1000</f>
        <v>13.042</v>
      </c>
      <c r="M19" s="23">
        <f>O19+N19</f>
        <v>24.494999999999997</v>
      </c>
      <c r="N19" s="23">
        <f>11453/1000</f>
        <v>11.452999999999999</v>
      </c>
      <c r="O19" s="23">
        <f>(8691+4351)/1000</f>
        <v>13.042</v>
      </c>
      <c r="P19" s="30">
        <f>R19+Q19</f>
        <v>24.494999999999997</v>
      </c>
      <c r="Q19" s="30">
        <f>11453/1000</f>
        <v>11.452999999999999</v>
      </c>
      <c r="R19" s="30">
        <f>(8691+4351)/1000</f>
        <v>13.042</v>
      </c>
      <c r="S19" s="5">
        <f>U19+T19</f>
        <v>24.494999999999997</v>
      </c>
      <c r="T19" s="5">
        <f>11453/1000</f>
        <v>11.452999999999999</v>
      </c>
      <c r="U19" s="5">
        <f>(8691+4351)/1000</f>
        <v>13.042</v>
      </c>
      <c r="V19" s="5">
        <f>X19+W19</f>
        <v>24.494999999999997</v>
      </c>
      <c r="W19" s="5">
        <f>11453/1000</f>
        <v>11.452999999999999</v>
      </c>
      <c r="X19" s="5">
        <f>(8691+4351)/1000</f>
        <v>13.042</v>
      </c>
      <c r="Y19" s="5">
        <f>AA19+Z19</f>
        <v>24.494999999999997</v>
      </c>
      <c r="Z19" s="5">
        <f>11453/1000</f>
        <v>11.452999999999999</v>
      </c>
      <c r="AA19" s="5">
        <f>(8691+4351)/1000</f>
        <v>13.042</v>
      </c>
      <c r="AB19" s="5">
        <f>AD19+AC19</f>
        <v>24.494999999999997</v>
      </c>
      <c r="AC19" s="5">
        <f>11453/1000</f>
        <v>11.452999999999999</v>
      </c>
      <c r="AD19" s="5">
        <f>(8691+4351)/1000</f>
        <v>13.042</v>
      </c>
      <c r="AE19" s="43">
        <f t="shared" si="1"/>
        <v>1.3608333333333331</v>
      </c>
    </row>
    <row r="20" spans="1:31">
      <c r="A20" s="1">
        <f t="shared" si="2"/>
        <v>14</v>
      </c>
      <c r="B20" s="1" t="s">
        <v>100</v>
      </c>
      <c r="C20" s="1" t="s">
        <v>31</v>
      </c>
      <c r="D20" s="1">
        <v>6</v>
      </c>
      <c r="E20" s="1"/>
      <c r="F20" s="22">
        <f>[1]МКД!$H$10</f>
        <v>12</v>
      </c>
      <c r="G20" s="23">
        <f t="shared" si="0"/>
        <v>15.25</v>
      </c>
      <c r="H20" s="23">
        <f>7799/1000</f>
        <v>7.7990000000000004</v>
      </c>
      <c r="I20" s="23">
        <f>(7889-438)/1000</f>
        <v>7.4509999999999996</v>
      </c>
      <c r="J20" s="23">
        <f>L20+K20</f>
        <v>15.25</v>
      </c>
      <c r="K20" s="23">
        <f>7799/1000</f>
        <v>7.7990000000000004</v>
      </c>
      <c r="L20" s="23">
        <f>(7889-438)/1000</f>
        <v>7.4509999999999996</v>
      </c>
      <c r="M20" s="23">
        <f>O20+N20</f>
        <v>15.25</v>
      </c>
      <c r="N20" s="23">
        <f>7799/1000</f>
        <v>7.7990000000000004</v>
      </c>
      <c r="O20" s="23">
        <f>(7889-438)/1000</f>
        <v>7.4509999999999996</v>
      </c>
      <c r="P20" s="30">
        <f>R20+Q20</f>
        <v>15.25</v>
      </c>
      <c r="Q20" s="30">
        <f>7799/1000</f>
        <v>7.7990000000000004</v>
      </c>
      <c r="R20" s="30">
        <f>(7889-438)/1000</f>
        <v>7.4509999999999996</v>
      </c>
      <c r="S20" s="5">
        <f>U20+T20</f>
        <v>15.25</v>
      </c>
      <c r="T20" s="5">
        <f>7799/1000</f>
        <v>7.7990000000000004</v>
      </c>
      <c r="U20" s="5">
        <f>(7889-438)/1000</f>
        <v>7.4509999999999996</v>
      </c>
      <c r="V20" s="5">
        <f>X20+W20</f>
        <v>15.25</v>
      </c>
      <c r="W20" s="5">
        <f>7799/1000</f>
        <v>7.7990000000000004</v>
      </c>
      <c r="X20" s="5">
        <f>(7889-438)/1000</f>
        <v>7.4509999999999996</v>
      </c>
      <c r="Y20" s="5">
        <f>AA20+Z20</f>
        <v>15.25</v>
      </c>
      <c r="Z20" s="5">
        <f>7799/1000</f>
        <v>7.7990000000000004</v>
      </c>
      <c r="AA20" s="5">
        <f>(7889-438)/1000</f>
        <v>7.4509999999999996</v>
      </c>
      <c r="AB20" s="5">
        <f>AD20+AC20</f>
        <v>15.25</v>
      </c>
      <c r="AC20" s="5">
        <f>7799/1000</f>
        <v>7.7990000000000004</v>
      </c>
      <c r="AD20" s="5">
        <f>(7889-438)/1000</f>
        <v>7.4509999999999996</v>
      </c>
      <c r="AE20" s="43">
        <f t="shared" si="1"/>
        <v>1.2708333333333333</v>
      </c>
    </row>
    <row r="21" spans="1:31">
      <c r="A21" s="1">
        <f t="shared" si="2"/>
        <v>15</v>
      </c>
      <c r="B21" s="1" t="s">
        <v>100</v>
      </c>
      <c r="C21" s="1" t="s">
        <v>19</v>
      </c>
      <c r="D21" s="1">
        <v>31</v>
      </c>
      <c r="E21" s="29" t="s">
        <v>101</v>
      </c>
      <c r="F21" s="22">
        <f>[1]МКД!$H$169</f>
        <v>60</v>
      </c>
      <c r="G21" s="23">
        <f t="shared" si="0"/>
        <v>171.255</v>
      </c>
      <c r="H21" s="23">
        <f>55087/1000</f>
        <v>55.087000000000003</v>
      </c>
      <c r="I21" s="23">
        <f>(127411-11243)/1000</f>
        <v>116.16800000000001</v>
      </c>
      <c r="J21" s="23">
        <f>(74465-5885)/1000</f>
        <v>68.58</v>
      </c>
      <c r="K21" s="23">
        <f>32600/1000</f>
        <v>32.6</v>
      </c>
      <c r="L21" s="23">
        <f>J21-K21</f>
        <v>35.979999999999997</v>
      </c>
      <c r="M21" s="23">
        <f>(74465-5885)/1000</f>
        <v>68.58</v>
      </c>
      <c r="N21" s="23">
        <f>32600/1000</f>
        <v>32.6</v>
      </c>
      <c r="O21" s="23">
        <f>M21-N21</f>
        <v>35.979999999999997</v>
      </c>
      <c r="P21" s="30">
        <f>(74465-5885)/1000</f>
        <v>68.58</v>
      </c>
      <c r="Q21" s="30">
        <f>32600/1000</f>
        <v>32.6</v>
      </c>
      <c r="R21" s="30">
        <f>P21-Q21</f>
        <v>35.979999999999997</v>
      </c>
      <c r="S21" s="5">
        <f>(74465-5885)/1000</f>
        <v>68.58</v>
      </c>
      <c r="T21" s="5">
        <f>32600/1000</f>
        <v>32.6</v>
      </c>
      <c r="U21" s="5">
        <f>S21-T21</f>
        <v>35.979999999999997</v>
      </c>
      <c r="V21" s="5">
        <f>(74465-5885)/1000</f>
        <v>68.58</v>
      </c>
      <c r="W21" s="5">
        <f>32600/1000</f>
        <v>32.6</v>
      </c>
      <c r="X21" s="5">
        <f>V21-W21</f>
        <v>35.979999999999997</v>
      </c>
      <c r="Y21" s="5">
        <f>(74465-5885)/1000</f>
        <v>68.58</v>
      </c>
      <c r="Z21" s="5">
        <f>32600/1000</f>
        <v>32.6</v>
      </c>
      <c r="AA21" s="5">
        <f>Y21-Z21</f>
        <v>35.979999999999997</v>
      </c>
      <c r="AB21" s="5">
        <f>(74465-5885)/1000</f>
        <v>68.58</v>
      </c>
      <c r="AC21" s="5">
        <f>32600/1000</f>
        <v>32.6</v>
      </c>
      <c r="AD21" s="5">
        <f>AB21-AC21</f>
        <v>35.979999999999997</v>
      </c>
      <c r="AE21" s="43">
        <f t="shared" si="1"/>
        <v>1.143</v>
      </c>
    </row>
    <row r="22" spans="1:31">
      <c r="A22" s="1">
        <f t="shared" si="2"/>
        <v>16</v>
      </c>
      <c r="B22" s="1" t="s">
        <v>100</v>
      </c>
      <c r="C22" s="1" t="s">
        <v>90</v>
      </c>
      <c r="D22" s="1">
        <v>29</v>
      </c>
      <c r="E22" s="29"/>
      <c r="F22" s="22">
        <f>[1]МКД!$H$113</f>
        <v>18</v>
      </c>
      <c r="G22" s="23">
        <f t="shared" si="0"/>
        <v>17.093</v>
      </c>
      <c r="H22" s="23">
        <f>14663/1000</f>
        <v>14.663</v>
      </c>
      <c r="I22" s="23">
        <f>2430/1000</f>
        <v>2.4300000000000002</v>
      </c>
      <c r="J22" s="23">
        <f>L22+K22</f>
        <v>17.093</v>
      </c>
      <c r="K22" s="23">
        <f>14663/1000</f>
        <v>14.663</v>
      </c>
      <c r="L22" s="23">
        <f>2430/1000</f>
        <v>2.4300000000000002</v>
      </c>
      <c r="M22" s="23">
        <f>O22+N22</f>
        <v>17.093</v>
      </c>
      <c r="N22" s="23">
        <f>14663/1000</f>
        <v>14.663</v>
      </c>
      <c r="O22" s="23">
        <f>2430/1000</f>
        <v>2.4300000000000002</v>
      </c>
      <c r="P22" s="30">
        <f>R22+Q22</f>
        <v>17.093</v>
      </c>
      <c r="Q22" s="30">
        <f>14663/1000</f>
        <v>14.663</v>
      </c>
      <c r="R22" s="30">
        <f>2430/1000</f>
        <v>2.4300000000000002</v>
      </c>
      <c r="S22" s="5">
        <f>U22+T22</f>
        <v>17.093</v>
      </c>
      <c r="T22" s="5">
        <f>14663/1000</f>
        <v>14.663</v>
      </c>
      <c r="U22" s="5">
        <f>2430/1000</f>
        <v>2.4300000000000002</v>
      </c>
      <c r="V22" s="5">
        <f>X22+W22</f>
        <v>17.093</v>
      </c>
      <c r="W22" s="5">
        <f>14663/1000</f>
        <v>14.663</v>
      </c>
      <c r="X22" s="5">
        <f>2430/1000</f>
        <v>2.4300000000000002</v>
      </c>
      <c r="Y22" s="5">
        <f>AA22+Z22</f>
        <v>17.093</v>
      </c>
      <c r="Z22" s="5">
        <f>14663/1000</f>
        <v>14.663</v>
      </c>
      <c r="AA22" s="5">
        <f>2430/1000</f>
        <v>2.4300000000000002</v>
      </c>
      <c r="AB22" s="5">
        <f>AD22+AC22</f>
        <v>17.093</v>
      </c>
      <c r="AC22" s="5">
        <f>14663/1000</f>
        <v>14.663</v>
      </c>
      <c r="AD22" s="5">
        <f>2430/1000</f>
        <v>2.4300000000000002</v>
      </c>
      <c r="AE22" s="43">
        <f t="shared" si="1"/>
        <v>0.94961111111111107</v>
      </c>
    </row>
    <row r="23" spans="1:31">
      <c r="A23" s="1">
        <f t="shared" si="2"/>
        <v>17</v>
      </c>
      <c r="B23" s="1" t="s">
        <v>100</v>
      </c>
      <c r="C23" s="1" t="s">
        <v>31</v>
      </c>
      <c r="D23" s="1">
        <v>16</v>
      </c>
      <c r="E23" s="1"/>
      <c r="F23" s="22">
        <f>[1]МКД!$H$16</f>
        <v>16</v>
      </c>
      <c r="G23" s="23">
        <f t="shared" si="0"/>
        <v>25.860999999999997</v>
      </c>
      <c r="H23" s="23">
        <f>11914/1000</f>
        <v>11.914</v>
      </c>
      <c r="I23" s="23">
        <f>(11032+2915)/1000</f>
        <v>13.946999999999999</v>
      </c>
      <c r="J23" s="23">
        <f>(10554+3058)/1000</f>
        <v>13.612</v>
      </c>
      <c r="K23" s="23">
        <f>6801/1000</f>
        <v>6.8010000000000002</v>
      </c>
      <c r="L23" s="23">
        <f>J23-K23</f>
        <v>6.8109999999999999</v>
      </c>
      <c r="M23" s="23">
        <f>(10554+3058)/1000</f>
        <v>13.612</v>
      </c>
      <c r="N23" s="23">
        <f>6801/1000</f>
        <v>6.8010000000000002</v>
      </c>
      <c r="O23" s="23">
        <f>M23-N23</f>
        <v>6.8109999999999999</v>
      </c>
      <c r="P23" s="30">
        <f>(10554+3058)/1000</f>
        <v>13.612</v>
      </c>
      <c r="Q23" s="30">
        <f>6801/1000</f>
        <v>6.8010000000000002</v>
      </c>
      <c r="R23" s="30">
        <f>P23-Q23</f>
        <v>6.8109999999999999</v>
      </c>
      <c r="S23" s="5">
        <f>(10554+3058)/1000</f>
        <v>13.612</v>
      </c>
      <c r="T23" s="5">
        <f>6801/1000</f>
        <v>6.8010000000000002</v>
      </c>
      <c r="U23" s="5">
        <f>S23-T23</f>
        <v>6.8109999999999999</v>
      </c>
      <c r="V23" s="5">
        <f>(10554+3058)/1000</f>
        <v>13.612</v>
      </c>
      <c r="W23" s="5">
        <f>6801/1000</f>
        <v>6.8010000000000002</v>
      </c>
      <c r="X23" s="5">
        <f>V23-W23</f>
        <v>6.8109999999999999</v>
      </c>
      <c r="Y23" s="5">
        <f>(10554+3058)/1000</f>
        <v>13.612</v>
      </c>
      <c r="Z23" s="5">
        <f>6801/1000</f>
        <v>6.8010000000000002</v>
      </c>
      <c r="AA23" s="5">
        <f>Y23-Z23</f>
        <v>6.8109999999999999</v>
      </c>
      <c r="AB23" s="5">
        <f>(10554+3058)/1000</f>
        <v>13.612</v>
      </c>
      <c r="AC23" s="5">
        <f>6801/1000</f>
        <v>6.8010000000000002</v>
      </c>
      <c r="AD23" s="5">
        <f>AB23-AC23</f>
        <v>6.8109999999999999</v>
      </c>
      <c r="AE23" s="43">
        <f t="shared" si="1"/>
        <v>0.85075000000000001</v>
      </c>
    </row>
    <row r="24" spans="1:31">
      <c r="A24" s="1">
        <f t="shared" si="2"/>
        <v>18</v>
      </c>
      <c r="B24" s="1" t="s">
        <v>100</v>
      </c>
      <c r="C24" s="1" t="s">
        <v>19</v>
      </c>
      <c r="D24" s="1">
        <v>41</v>
      </c>
      <c r="E24" s="29" t="s">
        <v>101</v>
      </c>
      <c r="F24" s="22">
        <f>[1]МКД!$H$173</f>
        <v>46</v>
      </c>
      <c r="G24" s="23">
        <f t="shared" si="0"/>
        <v>138.72399999999999</v>
      </c>
      <c r="H24" s="23">
        <f>62094/1000</f>
        <v>62.094000000000001</v>
      </c>
      <c r="I24" s="23">
        <f>(77000-370)/1000</f>
        <v>76.63</v>
      </c>
      <c r="J24" s="23">
        <f>(36643+121)/1000</f>
        <v>36.764000000000003</v>
      </c>
      <c r="K24" s="23">
        <f>16289/1000</f>
        <v>16.289000000000001</v>
      </c>
      <c r="L24" s="23">
        <f>J24-K24</f>
        <v>20.475000000000001</v>
      </c>
      <c r="M24" s="23">
        <f>(36643+121)/1000</f>
        <v>36.764000000000003</v>
      </c>
      <c r="N24" s="23">
        <f>16289/1000</f>
        <v>16.289000000000001</v>
      </c>
      <c r="O24" s="23">
        <f>M24-N24</f>
        <v>20.475000000000001</v>
      </c>
      <c r="P24" s="30">
        <f>(36643+121)/1000</f>
        <v>36.764000000000003</v>
      </c>
      <c r="Q24" s="30">
        <f>16289/1000</f>
        <v>16.289000000000001</v>
      </c>
      <c r="R24" s="30">
        <f>P24-Q24</f>
        <v>20.475000000000001</v>
      </c>
      <c r="S24" s="5">
        <f>(36643+121)/1000</f>
        <v>36.764000000000003</v>
      </c>
      <c r="T24" s="5">
        <f>16289/1000</f>
        <v>16.289000000000001</v>
      </c>
      <c r="U24" s="5">
        <f>S24-T24</f>
        <v>20.475000000000001</v>
      </c>
      <c r="V24" s="5">
        <f>(36643+121)/1000</f>
        <v>36.764000000000003</v>
      </c>
      <c r="W24" s="5">
        <f>16289/1000</f>
        <v>16.289000000000001</v>
      </c>
      <c r="X24" s="5">
        <f>V24-W24</f>
        <v>20.475000000000001</v>
      </c>
      <c r="Y24" s="5">
        <f>(36643+121)/1000</f>
        <v>36.764000000000003</v>
      </c>
      <c r="Z24" s="5">
        <f>16289/1000</f>
        <v>16.289000000000001</v>
      </c>
      <c r="AA24" s="5">
        <f>Y24-Z24</f>
        <v>20.475000000000001</v>
      </c>
      <c r="AB24" s="5">
        <f>(36643+121)/1000</f>
        <v>36.764000000000003</v>
      </c>
      <c r="AC24" s="5">
        <f>16289/1000</f>
        <v>16.289000000000001</v>
      </c>
      <c r="AD24" s="5">
        <f>AB24-AC24</f>
        <v>20.475000000000001</v>
      </c>
      <c r="AE24" s="43">
        <f t="shared" si="1"/>
        <v>0.79921739130434788</v>
      </c>
    </row>
    <row r="25" spans="1:31">
      <c r="A25" s="1">
        <f t="shared" si="2"/>
        <v>19</v>
      </c>
      <c r="B25" s="1" t="s">
        <v>100</v>
      </c>
      <c r="C25" s="1" t="s">
        <v>76</v>
      </c>
      <c r="D25" s="1">
        <v>3</v>
      </c>
      <c r="E25" s="29" t="s">
        <v>102</v>
      </c>
      <c r="F25" s="32">
        <f>[2]МКД!$H$123</f>
        <v>126</v>
      </c>
      <c r="G25" s="23">
        <f t="shared" si="0"/>
        <v>228.50700000000001</v>
      </c>
      <c r="H25" s="23">
        <f>126521/1000</f>
        <v>126.521</v>
      </c>
      <c r="I25" s="23">
        <f>101986/1000</f>
        <v>101.986</v>
      </c>
      <c r="J25" s="23">
        <f>(-2601+66896)/1000</f>
        <v>64.295000000000002</v>
      </c>
      <c r="K25" s="23">
        <f>74638/1000</f>
        <v>74.638000000000005</v>
      </c>
      <c r="L25" s="23">
        <f>J25-K25</f>
        <v>-10.343000000000004</v>
      </c>
      <c r="M25" s="23">
        <f>(-2601+66896)/1000</f>
        <v>64.295000000000002</v>
      </c>
      <c r="N25" s="23">
        <f>74638/1000</f>
        <v>74.638000000000005</v>
      </c>
      <c r="O25" s="23">
        <f>M25-N25</f>
        <v>-10.343000000000004</v>
      </c>
      <c r="P25" s="30">
        <f>(-2601+66896)/1000</f>
        <v>64.295000000000002</v>
      </c>
      <c r="Q25" s="30">
        <f>74638/1000</f>
        <v>74.638000000000005</v>
      </c>
      <c r="R25" s="30">
        <f>P25-Q25</f>
        <v>-10.343000000000004</v>
      </c>
      <c r="S25" s="5">
        <f>(-2601+66896)/1000</f>
        <v>64.295000000000002</v>
      </c>
      <c r="T25" s="5">
        <f>74638/1000</f>
        <v>74.638000000000005</v>
      </c>
      <c r="U25" s="5">
        <f>S25-T25</f>
        <v>-10.343000000000004</v>
      </c>
      <c r="V25" s="5">
        <f>(-2601+66896)/1000</f>
        <v>64.295000000000002</v>
      </c>
      <c r="W25" s="5">
        <f>74638/1000</f>
        <v>74.638000000000005</v>
      </c>
      <c r="X25" s="5">
        <f>V25-W25</f>
        <v>-10.343000000000004</v>
      </c>
      <c r="Y25" s="5">
        <f>(-2601+66896)/1000</f>
        <v>64.295000000000002</v>
      </c>
      <c r="Z25" s="5">
        <f>74638/1000</f>
        <v>74.638000000000005</v>
      </c>
      <c r="AA25" s="5">
        <f>Y25-Z25</f>
        <v>-10.343000000000004</v>
      </c>
      <c r="AB25" s="5">
        <f>(-2601+66896)/1000</f>
        <v>64.295000000000002</v>
      </c>
      <c r="AC25" s="5">
        <f>74638/1000</f>
        <v>74.638000000000005</v>
      </c>
      <c r="AD25" s="5">
        <f>AB25-AC25</f>
        <v>-10.343000000000004</v>
      </c>
      <c r="AE25" s="43">
        <f t="shared" si="1"/>
        <v>0.51027777777777783</v>
      </c>
    </row>
    <row r="26" spans="1:31">
      <c r="A26" s="1">
        <f t="shared" si="2"/>
        <v>20</v>
      </c>
      <c r="B26" s="1" t="s">
        <v>100</v>
      </c>
      <c r="C26" s="1" t="s">
        <v>22</v>
      </c>
      <c r="D26" s="1">
        <v>33</v>
      </c>
      <c r="E26" s="29"/>
      <c r="F26" s="22">
        <f>[1]МКД!$H$353</f>
        <v>60</v>
      </c>
      <c r="G26" s="23">
        <f t="shared" si="0"/>
        <v>10.362</v>
      </c>
      <c r="H26" s="23">
        <f>10304/1000</f>
        <v>10.304</v>
      </c>
      <c r="I26" s="23">
        <f>(-7520+7578)/1000</f>
        <v>5.8000000000000003E-2</v>
      </c>
      <c r="J26" s="23">
        <f>L26+K26</f>
        <v>10.362</v>
      </c>
      <c r="K26" s="23">
        <f>10304/1000</f>
        <v>10.304</v>
      </c>
      <c r="L26" s="23">
        <f>(-7520+7578)/1000</f>
        <v>5.8000000000000003E-2</v>
      </c>
      <c r="M26" s="23">
        <f>O26+N26</f>
        <v>10.362</v>
      </c>
      <c r="N26" s="23">
        <f>10304/1000</f>
        <v>10.304</v>
      </c>
      <c r="O26" s="23">
        <f>(-7520+7578)/1000</f>
        <v>5.8000000000000003E-2</v>
      </c>
      <c r="P26" s="30">
        <f>R26+Q26</f>
        <v>10.362</v>
      </c>
      <c r="Q26" s="30">
        <f>10304/1000</f>
        <v>10.304</v>
      </c>
      <c r="R26" s="30">
        <f>(-7520+7578)/1000</f>
        <v>5.8000000000000003E-2</v>
      </c>
      <c r="S26" s="5">
        <f>U26+T26</f>
        <v>10.362</v>
      </c>
      <c r="T26" s="5">
        <f>10304/1000</f>
        <v>10.304</v>
      </c>
      <c r="U26" s="5">
        <f>(-7520+7578)/1000</f>
        <v>5.8000000000000003E-2</v>
      </c>
      <c r="V26" s="5">
        <f>X26+W26</f>
        <v>10.362</v>
      </c>
      <c r="W26" s="5">
        <f>10304/1000</f>
        <v>10.304</v>
      </c>
      <c r="X26" s="5">
        <f>(-7520+7578)/1000</f>
        <v>5.8000000000000003E-2</v>
      </c>
      <c r="Y26" s="5">
        <f>AA26+Z26</f>
        <v>10.362</v>
      </c>
      <c r="Z26" s="5">
        <f>10304/1000</f>
        <v>10.304</v>
      </c>
      <c r="AA26" s="5">
        <f>(-7520+7578)/1000</f>
        <v>5.8000000000000003E-2</v>
      </c>
      <c r="AB26" s="5">
        <f>AD26+AC26</f>
        <v>10.362</v>
      </c>
      <c r="AC26" s="5">
        <f>10304/1000</f>
        <v>10.304</v>
      </c>
      <c r="AD26" s="5">
        <f>(-7520+7578)/1000</f>
        <v>5.8000000000000003E-2</v>
      </c>
      <c r="AE26" s="43">
        <f t="shared" si="1"/>
        <v>0.17269999999999999</v>
      </c>
    </row>
    <row r="27" spans="1:31">
      <c r="A27" s="1">
        <f t="shared" si="2"/>
        <v>21</v>
      </c>
      <c r="B27" s="1" t="s">
        <v>100</v>
      </c>
      <c r="C27" s="1" t="s">
        <v>19</v>
      </c>
      <c r="D27" s="1">
        <v>5</v>
      </c>
      <c r="E27" s="1"/>
      <c r="F27" s="22">
        <f>[1]МКД!$H$167</f>
        <v>58</v>
      </c>
      <c r="G27" s="23">
        <f t="shared" si="0"/>
        <v>8.5090000000000003</v>
      </c>
      <c r="H27" s="23">
        <f>6074/1000</f>
        <v>6.0739999999999998</v>
      </c>
      <c r="I27" s="23">
        <f>2435/1000</f>
        <v>2.4350000000000001</v>
      </c>
      <c r="J27" s="23">
        <f>L27+K27</f>
        <v>8.5090000000000003</v>
      </c>
      <c r="K27" s="23">
        <f>6074/1000</f>
        <v>6.0739999999999998</v>
      </c>
      <c r="L27" s="23">
        <f>2435/1000</f>
        <v>2.4350000000000001</v>
      </c>
      <c r="M27" s="23">
        <f>O27+N27</f>
        <v>8.5090000000000003</v>
      </c>
      <c r="N27" s="23">
        <f>6074/1000</f>
        <v>6.0739999999999998</v>
      </c>
      <c r="O27" s="23">
        <f>2435/1000</f>
        <v>2.4350000000000001</v>
      </c>
      <c r="P27" s="30">
        <f>R27+Q27</f>
        <v>8.5090000000000003</v>
      </c>
      <c r="Q27" s="30">
        <f>6074/1000</f>
        <v>6.0739999999999998</v>
      </c>
      <c r="R27" s="30">
        <f>2435/1000</f>
        <v>2.4350000000000001</v>
      </c>
      <c r="S27" s="5">
        <f>U27+T27</f>
        <v>8.5090000000000003</v>
      </c>
      <c r="T27" s="5">
        <f>6074/1000</f>
        <v>6.0739999999999998</v>
      </c>
      <c r="U27" s="5">
        <f>2435/1000</f>
        <v>2.4350000000000001</v>
      </c>
      <c r="V27" s="5">
        <f>X27+W27</f>
        <v>8.5090000000000003</v>
      </c>
      <c r="W27" s="5">
        <f>6074/1000</f>
        <v>6.0739999999999998</v>
      </c>
      <c r="X27" s="5">
        <f>2435/1000</f>
        <v>2.4350000000000001</v>
      </c>
      <c r="Y27" s="5">
        <f>AA27+Z27</f>
        <v>8.5090000000000003</v>
      </c>
      <c r="Z27" s="5">
        <f>6074/1000</f>
        <v>6.0739999999999998</v>
      </c>
      <c r="AA27" s="5">
        <f>2435/1000</f>
        <v>2.4350000000000001</v>
      </c>
      <c r="AB27" s="5">
        <f>AD27+AC27</f>
        <v>8.5090000000000003</v>
      </c>
      <c r="AC27" s="5">
        <f>6074/1000</f>
        <v>6.0739999999999998</v>
      </c>
      <c r="AD27" s="5">
        <f>2435/1000</f>
        <v>2.4350000000000001</v>
      </c>
      <c r="AE27" s="43">
        <f t="shared" si="1"/>
        <v>0.14670689655172414</v>
      </c>
    </row>
    <row r="28" spans="1:31">
      <c r="A28" s="1">
        <f t="shared" si="2"/>
        <v>22</v>
      </c>
      <c r="B28" s="1" t="s">
        <v>100</v>
      </c>
      <c r="C28" s="1" t="s">
        <v>31</v>
      </c>
      <c r="D28" s="1">
        <v>14</v>
      </c>
      <c r="E28" s="1"/>
      <c r="F28" s="22">
        <f>[1]МКД!$H$15</f>
        <v>24</v>
      </c>
      <c r="G28" s="23">
        <f t="shared" si="0"/>
        <v>0.67199999999999971</v>
      </c>
      <c r="H28" s="23">
        <f>3401/1000</f>
        <v>3.4009999999999998</v>
      </c>
      <c r="I28" s="23">
        <f>(-2623-106)/1000</f>
        <v>-2.7290000000000001</v>
      </c>
      <c r="J28" s="23">
        <f>L28+K28</f>
        <v>0.67199999999999971</v>
      </c>
      <c r="K28" s="23">
        <f>3401/1000</f>
        <v>3.4009999999999998</v>
      </c>
      <c r="L28" s="23">
        <f>(-2623-106)/1000</f>
        <v>-2.7290000000000001</v>
      </c>
      <c r="M28" s="23">
        <f>O28+N28</f>
        <v>0.67199999999999971</v>
      </c>
      <c r="N28" s="23">
        <f>3401/1000</f>
        <v>3.4009999999999998</v>
      </c>
      <c r="O28" s="23">
        <f>(-2623-106)/1000</f>
        <v>-2.7290000000000001</v>
      </c>
      <c r="P28" s="30">
        <f>R28+Q28</f>
        <v>0.67199999999999971</v>
      </c>
      <c r="Q28" s="30">
        <f>3401/1000</f>
        <v>3.4009999999999998</v>
      </c>
      <c r="R28" s="30">
        <f>(-2623-106)/1000</f>
        <v>-2.7290000000000001</v>
      </c>
      <c r="S28" s="5">
        <f>U28+T28</f>
        <v>0.67199999999999971</v>
      </c>
      <c r="T28" s="5">
        <f>3401/1000</f>
        <v>3.4009999999999998</v>
      </c>
      <c r="U28" s="5">
        <f>(-2623-106)/1000</f>
        <v>-2.7290000000000001</v>
      </c>
      <c r="V28" s="5">
        <f>X28+W28</f>
        <v>0.67199999999999971</v>
      </c>
      <c r="W28" s="5">
        <f>3401/1000</f>
        <v>3.4009999999999998</v>
      </c>
      <c r="X28" s="5">
        <f>(-2623-106)/1000</f>
        <v>-2.7290000000000001</v>
      </c>
      <c r="Y28" s="5">
        <f>AA28+Z28</f>
        <v>0.67199999999999971</v>
      </c>
      <c r="Z28" s="5">
        <f>3401/1000</f>
        <v>3.4009999999999998</v>
      </c>
      <c r="AA28" s="5">
        <f>(-2623-106)/1000</f>
        <v>-2.7290000000000001</v>
      </c>
      <c r="AB28" s="5">
        <f>AD28+AC28</f>
        <v>0.67199999999999971</v>
      </c>
      <c r="AC28" s="5">
        <f>3401/1000</f>
        <v>3.4009999999999998</v>
      </c>
      <c r="AD28" s="5">
        <f>(-2623-106)/1000</f>
        <v>-2.7290000000000001</v>
      </c>
      <c r="AE28" s="43">
        <f t="shared" si="1"/>
        <v>2.7999999999999987E-2</v>
      </c>
    </row>
    <row r="29" spans="1:31">
      <c r="A29" s="1">
        <f t="shared" si="2"/>
        <v>23</v>
      </c>
      <c r="B29" s="1" t="s">
        <v>100</v>
      </c>
      <c r="C29" s="1" t="s">
        <v>103</v>
      </c>
      <c r="D29" s="1">
        <v>3</v>
      </c>
      <c r="E29" s="1"/>
      <c r="F29" s="22">
        <f>[2]МКД!$H$69</f>
        <v>49</v>
      </c>
      <c r="G29" s="23">
        <f t="shared" si="0"/>
        <v>0.66499999999999915</v>
      </c>
      <c r="H29" s="23">
        <f>22486/1000</f>
        <v>22.486000000000001</v>
      </c>
      <c r="I29" s="23">
        <f>(-22506+685)/1000</f>
        <v>-21.821000000000002</v>
      </c>
      <c r="J29" s="23">
        <f>(-20+685)/1000</f>
        <v>0.66500000000000004</v>
      </c>
      <c r="K29" s="23">
        <f>22486/1000</f>
        <v>22.486000000000001</v>
      </c>
      <c r="L29" s="23">
        <f>J29-K29</f>
        <v>-21.821000000000002</v>
      </c>
      <c r="M29" s="23">
        <f>(-20+685)/1000</f>
        <v>0.66500000000000004</v>
      </c>
      <c r="N29" s="23">
        <f>22486/1000</f>
        <v>22.486000000000001</v>
      </c>
      <c r="O29" s="23">
        <f>M29-N29</f>
        <v>-21.821000000000002</v>
      </c>
      <c r="P29" s="30">
        <f>(-20+685)/1000</f>
        <v>0.66500000000000004</v>
      </c>
      <c r="Q29" s="30">
        <v>22.486000000000001</v>
      </c>
      <c r="R29" s="30">
        <f>P29-Q29</f>
        <v>-21.821000000000002</v>
      </c>
      <c r="S29" s="5">
        <f>(-20+685)/1000</f>
        <v>0.66500000000000004</v>
      </c>
      <c r="T29" s="5">
        <f>22486/1000</f>
        <v>22.486000000000001</v>
      </c>
      <c r="U29" s="5">
        <f>S29-T29</f>
        <v>-21.821000000000002</v>
      </c>
      <c r="V29" s="5">
        <f>(-20+685)/1000</f>
        <v>0.66500000000000004</v>
      </c>
      <c r="W29" s="5">
        <f>22486/1000</f>
        <v>22.486000000000001</v>
      </c>
      <c r="X29" s="5">
        <f>V29-W29</f>
        <v>-21.821000000000002</v>
      </c>
      <c r="Y29" s="5">
        <f>(-20+685)/1000</f>
        <v>0.66500000000000004</v>
      </c>
      <c r="Z29" s="5">
        <f>22486/1000</f>
        <v>22.486000000000001</v>
      </c>
      <c r="AA29" s="5">
        <f>Y29-Z29</f>
        <v>-21.821000000000002</v>
      </c>
      <c r="AB29" s="5">
        <f>(-20+685)/1000</f>
        <v>0.66500000000000004</v>
      </c>
      <c r="AC29" s="5">
        <f>22486/1000</f>
        <v>22.486000000000001</v>
      </c>
      <c r="AD29" s="5">
        <f>AB29-AC29</f>
        <v>-21.821000000000002</v>
      </c>
      <c r="AE29" s="43">
        <f t="shared" si="1"/>
        <v>1.3571428571428573E-2</v>
      </c>
    </row>
    <row r="30" spans="1:31">
      <c r="A30" s="1">
        <f t="shared" si="2"/>
        <v>24</v>
      </c>
      <c r="B30" s="1" t="s">
        <v>100</v>
      </c>
      <c r="C30" s="1" t="s">
        <v>31</v>
      </c>
      <c r="D30" s="1">
        <v>2</v>
      </c>
      <c r="E30" s="1"/>
      <c r="F30" s="77">
        <f>[1]МКД!$H$8</f>
        <v>16</v>
      </c>
      <c r="G30" s="23">
        <f t="shared" si="0"/>
        <v>-0.20900000000000007</v>
      </c>
      <c r="H30" s="23">
        <f>2331/1000</f>
        <v>2.331</v>
      </c>
      <c r="I30" s="23">
        <f>(-1878-662)/1000</f>
        <v>-2.54</v>
      </c>
      <c r="J30" s="23">
        <f>L30+K30</f>
        <v>-0.20900000000000007</v>
      </c>
      <c r="K30" s="23">
        <f>2331/1000</f>
        <v>2.331</v>
      </c>
      <c r="L30" s="23">
        <f>(-1878-662)/1000</f>
        <v>-2.54</v>
      </c>
      <c r="M30" s="23">
        <f>O30+N30</f>
        <v>-0.20900000000000007</v>
      </c>
      <c r="N30" s="23">
        <f>2331/1000</f>
        <v>2.331</v>
      </c>
      <c r="O30" s="23">
        <f>(-1878-662)/1000</f>
        <v>-2.54</v>
      </c>
      <c r="P30" s="30">
        <f>R30+Q30</f>
        <v>-0.20900000000000007</v>
      </c>
      <c r="Q30" s="30">
        <f>2331/1000</f>
        <v>2.331</v>
      </c>
      <c r="R30" s="30">
        <f>(-1878-662)/1000</f>
        <v>-2.54</v>
      </c>
      <c r="S30" s="5">
        <f>U30+T30</f>
        <v>-0.20900000000000007</v>
      </c>
      <c r="T30" s="5">
        <f>2331/1000</f>
        <v>2.331</v>
      </c>
      <c r="U30" s="5">
        <f>(-1878-662)/1000</f>
        <v>-2.54</v>
      </c>
      <c r="V30" s="5">
        <f>X30+W30</f>
        <v>-0.20900000000000007</v>
      </c>
      <c r="W30" s="5">
        <f>2331/1000</f>
        <v>2.331</v>
      </c>
      <c r="X30" s="5">
        <f>(-1878-662)/1000</f>
        <v>-2.54</v>
      </c>
      <c r="Y30" s="5">
        <f>AA30+Z30</f>
        <v>-0.20900000000000007</v>
      </c>
      <c r="Z30" s="5">
        <f>2331/1000</f>
        <v>2.331</v>
      </c>
      <c r="AA30" s="5">
        <f>(-1878-662)/1000</f>
        <v>-2.54</v>
      </c>
      <c r="AB30" s="5">
        <f>AD30+AC30</f>
        <v>-0.20900000000000007</v>
      </c>
      <c r="AC30" s="5">
        <f>2331/1000</f>
        <v>2.331</v>
      </c>
      <c r="AD30" s="5">
        <f>(-1878-662)/1000</f>
        <v>-2.54</v>
      </c>
      <c r="AE30" s="43">
        <f t="shared" si="1"/>
        <v>-1.3062500000000005E-2</v>
      </c>
    </row>
    <row r="31" spans="1:31">
      <c r="A31" s="1">
        <f t="shared" si="2"/>
        <v>25</v>
      </c>
      <c r="B31" s="1" t="s">
        <v>100</v>
      </c>
      <c r="C31" s="1" t="s">
        <v>75</v>
      </c>
      <c r="D31" s="1">
        <v>34</v>
      </c>
      <c r="E31" s="29"/>
      <c r="F31" s="22">
        <f>[1]МКД!$H$94</f>
        <v>84</v>
      </c>
      <c r="G31" s="23">
        <f t="shared" si="0"/>
        <v>470.33400000000006</v>
      </c>
      <c r="H31" s="23">
        <f>182799/1000</f>
        <v>182.79900000000001</v>
      </c>
      <c r="I31" s="23">
        <f>(252806+34729)/1000</f>
        <v>287.53500000000003</v>
      </c>
      <c r="J31" s="23">
        <f>-38632/1000</f>
        <v>-38.631999999999998</v>
      </c>
      <c r="K31" s="23">
        <f>26273/1000</f>
        <v>26.273</v>
      </c>
      <c r="L31" s="23">
        <f>J31-K31</f>
        <v>-64.905000000000001</v>
      </c>
      <c r="M31" s="23">
        <f>J31</f>
        <v>-38.631999999999998</v>
      </c>
      <c r="N31" s="23">
        <f>26273/1000</f>
        <v>26.273</v>
      </c>
      <c r="O31" s="23">
        <f>M31-N31</f>
        <v>-64.905000000000001</v>
      </c>
      <c r="P31" s="30">
        <f>J31</f>
        <v>-38.631999999999998</v>
      </c>
      <c r="Q31" s="30">
        <f>26273/1000</f>
        <v>26.273</v>
      </c>
      <c r="R31" s="30">
        <f>P31-Q31</f>
        <v>-64.905000000000001</v>
      </c>
      <c r="S31" s="5">
        <f>P31</f>
        <v>-38.631999999999998</v>
      </c>
      <c r="T31" s="5">
        <f>26273/1000</f>
        <v>26.273</v>
      </c>
      <c r="U31" s="5">
        <f>S31-T31</f>
        <v>-64.905000000000001</v>
      </c>
      <c r="V31" s="5">
        <f>S31</f>
        <v>-38.631999999999998</v>
      </c>
      <c r="W31" s="5">
        <f>26273/1000</f>
        <v>26.273</v>
      </c>
      <c r="X31" s="5">
        <f>V31-W31</f>
        <v>-64.905000000000001</v>
      </c>
      <c r="Y31" s="5">
        <f>V31</f>
        <v>-38.631999999999998</v>
      </c>
      <c r="Z31" s="5">
        <f>26273/1000</f>
        <v>26.273</v>
      </c>
      <c r="AA31" s="5">
        <f>Y31-Z31</f>
        <v>-64.905000000000001</v>
      </c>
      <c r="AB31" s="5">
        <f>Y31</f>
        <v>-38.631999999999998</v>
      </c>
      <c r="AC31" s="5">
        <f>26273/1000</f>
        <v>26.273</v>
      </c>
      <c r="AD31" s="5">
        <f>AB31-AC31</f>
        <v>-64.905000000000001</v>
      </c>
      <c r="AE31" s="43">
        <f t="shared" si="1"/>
        <v>-0.45990476190476187</v>
      </c>
    </row>
    <row r="32" spans="1:31" s="27" customFormat="1">
      <c r="A32" s="26"/>
      <c r="B32" s="26" t="s">
        <v>79</v>
      </c>
      <c r="C32" s="26"/>
      <c r="D32" s="26"/>
      <c r="E32" s="26"/>
      <c r="F32" s="26">
        <f>SUM(F7:F31)</f>
        <v>1035</v>
      </c>
      <c r="G32" s="33">
        <f t="shared" ref="G32:R32" si="3">SUM(G7:G31)</f>
        <v>5205.7329999999993</v>
      </c>
      <c r="H32" s="33">
        <f t="shared" si="3"/>
        <v>1944.1600000000003</v>
      </c>
      <c r="I32" s="33">
        <f t="shared" si="3"/>
        <v>3261.5730000000003</v>
      </c>
      <c r="J32" s="33">
        <f t="shared" si="3"/>
        <v>2251.933</v>
      </c>
      <c r="K32" s="33">
        <f t="shared" si="3"/>
        <v>985.81899999999985</v>
      </c>
      <c r="L32" s="33">
        <f t="shared" si="3"/>
        <v>1266.1139999999998</v>
      </c>
      <c r="M32" s="33">
        <f>SUM(M7:M31)</f>
        <v>2251.933</v>
      </c>
      <c r="N32" s="33">
        <f t="shared" ref="N32" si="4">SUM(N7:N31)</f>
        <v>985.81899999999985</v>
      </c>
      <c r="O32" s="33">
        <f>SUM(O7:O31)</f>
        <v>1266.1139999999998</v>
      </c>
      <c r="P32" s="33">
        <f t="shared" si="3"/>
        <v>2251.933</v>
      </c>
      <c r="Q32" s="33">
        <f t="shared" si="3"/>
        <v>985.81899999999985</v>
      </c>
      <c r="R32" s="33">
        <f t="shared" si="3"/>
        <v>1266.1139999999998</v>
      </c>
      <c r="S32" s="28">
        <f t="shared" ref="S32:U32" si="5">SUM(S7:S31)</f>
        <v>2251.933</v>
      </c>
      <c r="T32" s="28">
        <f t="shared" si="5"/>
        <v>985.81899999999985</v>
      </c>
      <c r="U32" s="28">
        <f t="shared" si="5"/>
        <v>1266.1139999999998</v>
      </c>
      <c r="V32" s="28">
        <f t="shared" ref="V32:X32" si="6">SUM(V7:V31)</f>
        <v>2251.933</v>
      </c>
      <c r="W32" s="28">
        <f t="shared" si="6"/>
        <v>985.81899999999985</v>
      </c>
      <c r="X32" s="28">
        <f t="shared" si="6"/>
        <v>1266.1139999999998</v>
      </c>
      <c r="Y32" s="28">
        <f t="shared" ref="Y32:AA32" si="7">SUM(Y7:Y31)</f>
        <v>2251.933</v>
      </c>
      <c r="Z32" s="28">
        <f t="shared" si="7"/>
        <v>985.81899999999985</v>
      </c>
      <c r="AA32" s="28">
        <f t="shared" si="7"/>
        <v>1266.1139999999998</v>
      </c>
      <c r="AB32" s="28">
        <f t="shared" ref="AB32:AD32" si="8">SUM(AB7:AB31)</f>
        <v>2251.933</v>
      </c>
      <c r="AC32" s="28">
        <f t="shared" si="8"/>
        <v>985.81899999999985</v>
      </c>
      <c r="AD32" s="28">
        <f t="shared" si="8"/>
        <v>1266.1139999999998</v>
      </c>
      <c r="AE32" s="33"/>
    </row>
    <row r="34" spans="2:22" s="87" customFormat="1" ht="12.75">
      <c r="B34" s="88" t="s">
        <v>144</v>
      </c>
    </row>
    <row r="35" spans="2:22" s="87" customFormat="1" ht="54" customHeight="1">
      <c r="B35" s="249" t="s">
        <v>152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</row>
  </sheetData>
  <autoFilter ref="C5:D32"/>
  <sortState ref="C7:AE31">
    <sortCondition descending="1" ref="AE7:AE31"/>
  </sortState>
  <mergeCells count="35">
    <mergeCell ref="B35:V35"/>
    <mergeCell ref="C2:AD2"/>
    <mergeCell ref="C1:AD1"/>
    <mergeCell ref="F4:F6"/>
    <mergeCell ref="G5:G6"/>
    <mergeCell ref="H5:I5"/>
    <mergeCell ref="J5:J6"/>
    <mergeCell ref="K5:L5"/>
    <mergeCell ref="P5:P6"/>
    <mergeCell ref="Q5:R5"/>
    <mergeCell ref="P4:R4"/>
    <mergeCell ref="M4:O4"/>
    <mergeCell ref="M5:M6"/>
    <mergeCell ref="N5:O5"/>
    <mergeCell ref="AE4:AE6"/>
    <mergeCell ref="S4:U4"/>
    <mergeCell ref="S5:S6"/>
    <mergeCell ref="T5:U5"/>
    <mergeCell ref="V4:X4"/>
    <mergeCell ref="V5:V6"/>
    <mergeCell ref="W5:X5"/>
    <mergeCell ref="Y4:AA4"/>
    <mergeCell ref="Y5:Y6"/>
    <mergeCell ref="Z5:AA5"/>
    <mergeCell ref="AB4:AD4"/>
    <mergeCell ref="AB5:AB6"/>
    <mergeCell ref="AC5:AD5"/>
    <mergeCell ref="A4:A6"/>
    <mergeCell ref="B4:B6"/>
    <mergeCell ref="C4:E4"/>
    <mergeCell ref="G4:I4"/>
    <mergeCell ref="J4:L4"/>
    <mergeCell ref="C5:C6"/>
    <mergeCell ref="D5:D6"/>
    <mergeCell ref="E5:E6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СВОД</vt:lpstr>
      <vt:lpstr>ООО "Базис"</vt:lpstr>
      <vt:lpstr>ООО "Ненецкая УК"</vt:lpstr>
      <vt:lpstr>ООО "Коми-Сервис"</vt:lpstr>
      <vt:lpstr>ООО "Наш дом"</vt:lpstr>
      <vt:lpstr>ООО УК "Уютный дом"</vt:lpstr>
      <vt:lpstr>ООО УК "Нарьян-Марстрой"</vt:lpstr>
      <vt:lpstr>ООО УК "ПОКиТС"</vt:lpstr>
      <vt:lpstr>Нарьян-Марское МУ ПОК и ТС</vt:lpstr>
      <vt:lpstr>ООО "Аврора"</vt:lpstr>
      <vt:lpstr>ТСЖ "Дворянское гнездо"</vt:lpstr>
      <vt:lpstr>ООО "Содружество"</vt:lpstr>
      <vt:lpstr>Лист3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2019-02-11T07:27:19Z</cp:lastPrinted>
  <dcterms:created xsi:type="dcterms:W3CDTF">2018-08-07T12:00:09Z</dcterms:created>
  <dcterms:modified xsi:type="dcterms:W3CDTF">2019-02-11T07:29:53Z</dcterms:modified>
</cp:coreProperties>
</file>